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03\"/>
    </mc:Choice>
  </mc:AlternateContent>
  <bookViews>
    <workbookView xWindow="1440" yWindow="1170" windowWidth="17235" windowHeight="9405"/>
  </bookViews>
  <sheets>
    <sheet name="(Exh.1) EBA Summary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'[2]Check Dollars'!$R$258:$S$643</definedName>
    <definedName name="ContractTypeMWh">'[2]Check MWh'!$R$258:$S$643</definedName>
    <definedName name="COSFacVal">[1]Inputs!$W$11</definedName>
    <definedName name="DataCheck_Base">#REF!</definedName>
    <definedName name="DataCheck_Delta">#REF!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ECDQF_Exp">#REF!</definedName>
    <definedName name="ECDQF_MWh">#REF!</definedName>
    <definedName name="Factorck">'[1]COS Factor Table'!$Q$15:$Q$136</definedName>
    <definedName name="FactSum">'[1]COS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Hide_Rows">#REF!</definedName>
    <definedName name="Hide_Rows_Recon">#REF!</definedName>
    <definedName name="IncomeTaxOptVal">[3]Inputs!$Y$11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'[4](7.4) Base UTGRC12 Stlmt NPC'!$F$7:$Q$7</definedName>
    <definedName name="NameECDQF_Exp">#REF!</definedName>
    <definedName name="NameECDQF_MWh">#REF!</definedName>
    <definedName name="NetToGross">[1]Inputs!$H$21</definedName>
    <definedName name="OH">[1]Inputs!$D$24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'[1]Energy Factor'!#REF!</definedName>
    <definedName name="page64">'[1]Energy Factor'!#REF!</definedName>
    <definedName name="PSATable">[2]Hermiston!$A$41:$E$56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Version">#REF!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/>
</workbook>
</file>

<file path=xl/calcChain.xml><?xml version="1.0" encoding="utf-8"?>
<calcChain xmlns="http://schemas.openxmlformats.org/spreadsheetml/2006/main">
  <c r="G6" i="1" l="1"/>
  <c r="H6" i="1" s="1"/>
  <c r="I6" i="1" s="1"/>
  <c r="M11" i="1"/>
  <c r="M15" i="1" s="1"/>
  <c r="F11" i="1"/>
  <c r="G11" i="1"/>
  <c r="J11" i="1"/>
  <c r="K11" i="1"/>
  <c r="S13" i="1"/>
  <c r="G45" i="1"/>
  <c r="H45" i="1" s="1"/>
  <c r="I45" i="1" s="1"/>
  <c r="J45" i="1"/>
  <c r="K45" i="1" s="1"/>
  <c r="L45" i="1" s="1"/>
  <c r="M45" i="1" s="1"/>
  <c r="N45" i="1" s="1"/>
  <c r="O45" i="1" s="1"/>
  <c r="P45" i="1" s="1"/>
  <c r="Q45" i="1" s="1"/>
  <c r="S46" i="1"/>
  <c r="J15" i="1" l="1"/>
  <c r="J19" i="1" s="1"/>
  <c r="S28" i="1"/>
  <c r="L11" i="1"/>
  <c r="L15" i="1" s="1"/>
  <c r="L19" i="1" s="1"/>
  <c r="H11" i="1"/>
  <c r="H15" i="1" s="1"/>
  <c r="H19" i="1" s="1"/>
  <c r="H21" i="1" s="1"/>
  <c r="G15" i="1"/>
  <c r="G19" i="1" s="1"/>
  <c r="G21" i="1" s="1"/>
  <c r="F15" i="1"/>
  <c r="F19" i="1" s="1"/>
  <c r="F21" i="1" s="1"/>
  <c r="S17" i="1"/>
  <c r="M19" i="1"/>
  <c r="J6" i="1"/>
  <c r="I11" i="1"/>
  <c r="I15" i="1" s="1"/>
  <c r="I19" i="1" s="1"/>
  <c r="I21" i="1" s="1"/>
  <c r="S10" i="1"/>
  <c r="A9" i="1"/>
  <c r="K15" i="1"/>
  <c r="K19" i="1" s="1"/>
  <c r="S9" i="1"/>
  <c r="S11" i="1" l="1"/>
  <c r="S15" i="1" s="1"/>
  <c r="K6" i="1"/>
  <c r="A10" i="1"/>
  <c r="D11" i="1" l="1"/>
  <c r="A11" i="1"/>
  <c r="A13" i="1" s="1"/>
  <c r="D15" i="1" s="1"/>
  <c r="J21" i="1"/>
  <c r="K21" i="1"/>
  <c r="L6" i="1"/>
  <c r="A15" i="1" l="1"/>
  <c r="A17" i="1" s="1"/>
  <c r="A19" i="1" s="1"/>
  <c r="M6" i="1"/>
  <c r="L21" i="1" l="1"/>
  <c r="A20" i="1"/>
  <c r="N6" i="1"/>
  <c r="M21" i="1"/>
  <c r="D21" i="1" l="1"/>
  <c r="A21" i="1"/>
  <c r="O6" i="1"/>
  <c r="A23" i="1" l="1"/>
  <c r="P6" i="1"/>
  <c r="A24" i="1" l="1"/>
  <c r="D24" i="1"/>
  <c r="Q6" i="1"/>
  <c r="A27" i="1" l="1"/>
  <c r="A28" i="1" l="1"/>
  <c r="A29" i="1" s="1"/>
  <c r="S20" i="1"/>
  <c r="A31" i="1" l="1"/>
  <c r="A33" i="1" s="1"/>
  <c r="D29" i="1"/>
  <c r="A36" i="1" l="1"/>
  <c r="D36" i="1"/>
  <c r="D33" i="1"/>
  <c r="A38" i="1" l="1"/>
  <c r="A40" i="1" s="1"/>
  <c r="D38" i="1"/>
  <c r="D40" i="1" l="1"/>
  <c r="A41" i="1"/>
  <c r="D42" i="1" s="1"/>
  <c r="A42" i="1" l="1"/>
  <c r="D49" i="1"/>
  <c r="D47" i="1" l="1"/>
  <c r="A45" i="1"/>
  <c r="A46" i="1" l="1"/>
  <c r="A47" i="1" s="1"/>
  <c r="A48" i="1" s="1"/>
  <c r="A49" i="1" s="1"/>
  <c r="D46" i="1" l="1"/>
  <c r="D51" i="1"/>
  <c r="A51" i="1"/>
  <c r="D48" i="1"/>
  <c r="A52" i="1" l="1"/>
  <c r="A53" i="1" l="1"/>
  <c r="D53" i="1"/>
  <c r="G24" i="1"/>
  <c r="J24" i="1" l="1"/>
  <c r="H24" i="1"/>
  <c r="F24" i="1"/>
  <c r="I24" i="1"/>
  <c r="G29" i="1" l="1"/>
  <c r="G33" i="1" s="1"/>
  <c r="G36" i="1" s="1"/>
  <c r="G38" i="1" s="1"/>
  <c r="G40" i="1" s="1"/>
  <c r="G42" i="1" s="1"/>
  <c r="G47" i="1" s="1"/>
  <c r="F29" i="1"/>
  <c r="H29" i="1" l="1"/>
  <c r="H33" i="1" s="1"/>
  <c r="H36" i="1" s="1"/>
  <c r="H38" i="1" s="1"/>
  <c r="H40" i="1" s="1"/>
  <c r="H42" i="1" s="1"/>
  <c r="H47" i="1" s="1"/>
  <c r="F33" i="1"/>
  <c r="F36" i="1" s="1"/>
  <c r="F38" i="1" s="1"/>
  <c r="F40" i="1" s="1"/>
  <c r="F42" i="1" s="1"/>
  <c r="M24" i="1"/>
  <c r="K24" i="1"/>
  <c r="I29" i="1" l="1"/>
  <c r="I33" i="1" s="1"/>
  <c r="I36" i="1" s="1"/>
  <c r="I38" i="1" s="1"/>
  <c r="I40" i="1" s="1"/>
  <c r="I42" i="1" s="1"/>
  <c r="I47" i="1" s="1"/>
  <c r="F47" i="1"/>
  <c r="L24" i="1"/>
  <c r="J29" i="1" l="1"/>
  <c r="F48" i="1"/>
  <c r="F49" i="1" s="1"/>
  <c r="G46" i="1" s="1"/>
  <c r="J33" i="1" l="1"/>
  <c r="J36" i="1" s="1"/>
  <c r="J38" i="1" s="1"/>
  <c r="J40" i="1" s="1"/>
  <c r="J42" i="1" s="1"/>
  <c r="J47" i="1" s="1"/>
  <c r="G48" i="1"/>
  <c r="G49" i="1" s="1"/>
  <c r="H46" i="1" s="1"/>
  <c r="L29" i="1" l="1"/>
  <c r="K29" i="1"/>
  <c r="K33" i="1" s="1"/>
  <c r="K36" i="1" s="1"/>
  <c r="K38" i="1" s="1"/>
  <c r="K40" i="1" s="1"/>
  <c r="K42" i="1" s="1"/>
  <c r="K47" i="1" s="1"/>
  <c r="H48" i="1"/>
  <c r="H49" i="1" s="1"/>
  <c r="I46" i="1" s="1"/>
  <c r="I48" i="1" s="1"/>
  <c r="I49" i="1" s="1"/>
  <c r="J46" i="1" s="1"/>
  <c r="M29" i="1" l="1"/>
  <c r="J48" i="1"/>
  <c r="J49" i="1" s="1"/>
  <c r="K46" i="1" s="1"/>
  <c r="K48" i="1" s="1"/>
  <c r="K49" i="1" s="1"/>
  <c r="L46" i="1" s="1"/>
  <c r="S23" i="1"/>
  <c r="M33" i="1" l="1"/>
  <c r="M36" i="1" s="1"/>
  <c r="M38" i="1" s="1"/>
  <c r="M40" i="1" s="1"/>
  <c r="P29" i="1" l="1"/>
  <c r="P33" i="1" s="1"/>
  <c r="O29" i="1"/>
  <c r="O33" i="1" s="1"/>
  <c r="L33" i="1" l="1"/>
  <c r="L36" i="1" s="1"/>
  <c r="L38" i="1" s="1"/>
  <c r="S31" i="1"/>
  <c r="N29" i="1"/>
  <c r="N33" i="1" l="1"/>
  <c r="L40" i="1"/>
  <c r="L42" i="1" l="1"/>
  <c r="L47" i="1" s="1"/>
  <c r="L48" i="1" s="1"/>
  <c r="L49" i="1" s="1"/>
  <c r="M46" i="1" s="1"/>
  <c r="Q29" i="1" l="1"/>
  <c r="S27" i="1"/>
  <c r="Q33" i="1" l="1"/>
  <c r="S29" i="1"/>
  <c r="S33" i="1" s="1"/>
  <c r="S41" i="1" l="1"/>
  <c r="M42" i="1"/>
  <c r="M47" i="1" l="1"/>
  <c r="M48" i="1" l="1"/>
  <c r="M49" i="1" s="1"/>
  <c r="N46" i="1" s="1"/>
  <c r="P21" i="1" l="1"/>
  <c r="P24" i="1" s="1"/>
  <c r="P36" i="1" s="1"/>
  <c r="P38" i="1" s="1"/>
  <c r="P40" i="1" s="1"/>
  <c r="P42" i="1" s="1"/>
  <c r="P47" i="1" s="1"/>
  <c r="Q21" i="1"/>
  <c r="Q24" i="1" s="1"/>
  <c r="Q36" i="1" s="1"/>
  <c r="Q38" i="1" s="1"/>
  <c r="Q40" i="1" s="1"/>
  <c r="Q42" i="1" s="1"/>
  <c r="Q47" i="1" s="1"/>
  <c r="O21" i="1"/>
  <c r="O24" i="1" s="1"/>
  <c r="O36" i="1" s="1"/>
  <c r="O38" i="1" s="1"/>
  <c r="O40" i="1" s="1"/>
  <c r="O42" i="1" s="1"/>
  <c r="O47" i="1" s="1"/>
  <c r="S19" i="1" l="1"/>
  <c r="S21" i="1" s="1"/>
  <c r="S24" i="1" s="1"/>
  <c r="N21" i="1"/>
  <c r="N24" i="1" s="1"/>
  <c r="N36" i="1" s="1"/>
  <c r="N38" i="1" s="1"/>
  <c r="N40" i="1" l="1"/>
  <c r="S38" i="1"/>
  <c r="N42" i="1" l="1"/>
  <c r="S40" i="1"/>
  <c r="N47" i="1" l="1"/>
  <c r="S42" i="1"/>
  <c r="S47" i="1" l="1"/>
  <c r="N48" i="1"/>
  <c r="N49" i="1" s="1"/>
  <c r="O46" i="1" s="1"/>
  <c r="O48" i="1" s="1"/>
  <c r="O49" i="1" s="1"/>
  <c r="P46" i="1" s="1"/>
  <c r="P48" i="1" s="1"/>
  <c r="P49" i="1" s="1"/>
  <c r="Q46" i="1" s="1"/>
  <c r="Q48" i="1" l="1"/>
  <c r="S48" i="1" s="1"/>
  <c r="S49" i="1" s="1"/>
  <c r="S51" i="1" l="1"/>
  <c r="S53" i="1" s="1"/>
  <c r="Q49" i="1"/>
</calcChain>
</file>

<file path=xl/sharedStrings.xml><?xml version="1.0" encoding="utf-8"?>
<sst xmlns="http://schemas.openxmlformats.org/spreadsheetml/2006/main" count="55" uniqueCount="52">
  <si>
    <t>Docket No. 09-035-15, March 2, 2011 Report and Order, Page 79</t>
  </si>
  <si>
    <t>FERC issued an order approving a settlement in ER11-3643 May 23, 2013.  The impact of the order will be included in the Company's annual EBA filing until reflected in rates, i.e. September 1, 2014.</t>
  </si>
  <si>
    <t>Actual NPC calculated using the scalar method approved in Docket No. 11-035-200 through August 31, 2014.  Beginning September 1, 2014, dynamic annual allocation factors are used, consistent with the Base NPC included in the settlement of Docket No. 13-035-184.</t>
  </si>
  <si>
    <t xml:space="preserve">Notes: </t>
  </si>
  <si>
    <t>Interest through October 31, 2014</t>
  </si>
  <si>
    <t>Ending Balance</t>
  </si>
  <si>
    <t>Interest</t>
  </si>
  <si>
    <t>Incremental Deferral</t>
  </si>
  <si>
    <t>Beginning Balance</t>
  </si>
  <si>
    <t>Note 3</t>
  </si>
  <si>
    <t>Monthly Interest Rate</t>
  </si>
  <si>
    <t>Energy Balancing Account:</t>
  </si>
  <si>
    <t xml:space="preserve">Incremental Deferral </t>
  </si>
  <si>
    <t>Note 2</t>
  </si>
  <si>
    <t>Additional FERC ER11-3643 Revenues</t>
  </si>
  <si>
    <t>Incremental EBA Deferral at 70% Sharing</t>
  </si>
  <si>
    <t>Total Deferrable</t>
  </si>
  <si>
    <t>$/ MWH Differential</t>
  </si>
  <si>
    <t>Deferral:</t>
  </si>
  <si>
    <t>Base Utah EBA $/MWh</t>
  </si>
  <si>
    <t>Exhibit 2, 3</t>
  </si>
  <si>
    <t>Jurisdictional Base Sales</t>
  </si>
  <si>
    <t>Total Utah Base Energy Balancing Account Costs</t>
  </si>
  <si>
    <t>Utah Allocated Base Wheeling Revenues</t>
  </si>
  <si>
    <t>Utah Allocated Base NPC</t>
  </si>
  <si>
    <t>Base:</t>
  </si>
  <si>
    <t xml:space="preserve">Utah EBA $/MWh </t>
  </si>
  <si>
    <t>Utah Jurisdictional Sales</t>
  </si>
  <si>
    <t>Total Energy Balancing Account Costs</t>
  </si>
  <si>
    <t>Utah Allocated Wheeling Revenues</t>
  </si>
  <si>
    <t>Utah Allocated NPC</t>
  </si>
  <si>
    <t>Utah Load</t>
  </si>
  <si>
    <t>Scaled Utah NPC $/MWH</t>
  </si>
  <si>
    <t>Dynamic Scalar</t>
  </si>
  <si>
    <t>Total Company NPC $/MWH</t>
  </si>
  <si>
    <t>Exhibit 3</t>
  </si>
  <si>
    <t>Net System Load</t>
  </si>
  <si>
    <t>Total Company NPC</t>
  </si>
  <si>
    <t>Actual:</t>
  </si>
  <si>
    <t>Total</t>
  </si>
  <si>
    <t>Reference</t>
  </si>
  <si>
    <t>Line No.</t>
  </si>
  <si>
    <t>Settlement Adjustment</t>
  </si>
  <si>
    <t>Commission Approved EBA Recovery</t>
  </si>
  <si>
    <t>Utah Energy Balancing Account Mechanism</t>
  </si>
  <si>
    <t>January 1, 2014 - December 31, 2014</t>
  </si>
  <si>
    <t xml:space="preserve">Exhibit 1 - EBA Calculation Summary </t>
  </si>
  <si>
    <t>(9.2)</t>
  </si>
  <si>
    <t>(9.1)</t>
  </si>
  <si>
    <t>Line 5 * Line 6 OR Exhibit 2</t>
  </si>
  <si>
    <t>(8.1)</t>
  </si>
  <si>
    <t>(9.3)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</si>
</sst>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\ #,##0.00_);_(&quot;$&quot;* \(#,##0.00\);_(&quot;$&quot;* &quot;-&quot;??_);_(@_)"/>
    <numFmt numFmtId="166" formatCode="_(* #,##0_);_(* \(#,##0\);_(* &quot;-&quot;??_);_(@_)"/>
    <numFmt numFmtId="167" formatCode="&quot;$&quot;#,##0.00"/>
    <numFmt numFmtId="168" formatCode="_(* #,##0.00000_);_(* \(#,##0.00000\);_(* &quot;-&quot;??_);_(@_)"/>
    <numFmt numFmtId="169" formatCode="[$-409]mmm\-yy;@"/>
    <numFmt numFmtId="170" formatCode="_-* #,##0\ &quot;F&quot;_-;\-* #,##0\ &quot;F&quot;_-;_-* &quot;-&quot;\ &quot;F&quot;_-;_-@_-"/>
    <numFmt numFmtId="171" formatCode="_(* #,##0.00_);[Red]_(* \(#,##0.00\);_(* &quot;-&quot;??_);_(@_)"/>
    <numFmt numFmtId="172" formatCode="&quot;$&quot;###0;[Red]\(&quot;$&quot;###0\)"/>
    <numFmt numFmtId="173" formatCode="\t#\,\t#\t#0"/>
    <numFmt numFmtId="174" formatCode="0.000%"/>
    <numFmt numFmtId="175" formatCode="0.0"/>
    <numFmt numFmtId="176" formatCode="#,##0.000;[Red]\-#,##0.000"/>
    <numFmt numFmtId="177" formatCode="_(* #,##0_);[Red]_(* \(#,##0\);_(* &quot;-&quot;_);_(@_)"/>
    <numFmt numFmtId="178" formatCode="#,##0.0000"/>
    <numFmt numFmtId="179" formatCode="General_)"/>
  </numFmts>
  <fonts count="59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Helv"/>
    </font>
    <font>
      <sz val="12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8"/>
      <color theme="1"/>
      <name val="Courier New"/>
      <family val="2"/>
    </font>
    <font>
      <sz val="10"/>
      <name val="Swiss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Geneva"/>
      <family val="2"/>
    </font>
    <font>
      <sz val="10"/>
      <color indexed="11"/>
      <name val="Genev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8"/>
      <color indexed="10"/>
      <name val="Arial"/>
      <family val="2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4" applyNumberFormat="0" applyAlignment="0" applyProtection="0"/>
    <xf numFmtId="0" fontId="9" fillId="0" borderId="0"/>
    <xf numFmtId="0" fontId="10" fillId="22" borderId="5" applyNumberFormat="0" applyAlignment="0" applyProtection="0"/>
    <xf numFmtId="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172" fontId="16" fillId="0" borderId="0" applyFont="0" applyFill="0" applyBorder="0" applyProtection="0">
      <alignment horizontal="right"/>
    </xf>
    <xf numFmtId="5" fontId="15" fillId="0" borderId="0"/>
    <xf numFmtId="5" fontId="1" fillId="0" borderId="0" applyFont="0" applyFill="0" applyBorder="0" applyAlignment="0" applyProtection="0"/>
    <xf numFmtId="0" fontId="17" fillId="0" borderId="0"/>
    <xf numFmtId="0" fontId="17" fillId="0" borderId="6"/>
    <xf numFmtId="14" fontId="1" fillId="0" borderId="0" applyFont="0" applyFill="0" applyBorder="0" applyAlignment="0" applyProtection="0"/>
    <xf numFmtId="0" fontId="15" fillId="0" borderId="0"/>
    <xf numFmtId="0" fontId="15" fillId="0" borderId="0"/>
    <xf numFmtId="173" fontId="1" fillId="0" borderId="0">
      <protection locked="0"/>
    </xf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9" fillId="0" borderId="0" applyFont="0" applyFill="0" applyBorder="0" applyAlignment="0" applyProtection="0">
      <alignment horizontal="left"/>
    </xf>
    <xf numFmtId="0" fontId="20" fillId="5" borderId="0" applyNumberFormat="0" applyBorder="0" applyAlignment="0" applyProtection="0"/>
    <xf numFmtId="38" fontId="3" fillId="23" borderId="0" applyNumberFormat="0" applyBorder="0" applyAlignment="0" applyProtection="0"/>
    <xf numFmtId="0" fontId="21" fillId="0" borderId="0"/>
    <xf numFmtId="0" fontId="22" fillId="0" borderId="7" applyNumberFormat="0" applyAlignment="0" applyProtection="0">
      <alignment horizontal="left" vertical="center"/>
    </xf>
    <xf numFmtId="0" fontId="22" fillId="0" borderId="8">
      <alignment horizontal="left" vertical="center"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174" fontId="1" fillId="0" borderId="0">
      <protection locked="0"/>
    </xf>
    <xf numFmtId="174" fontId="1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0" fontId="3" fillId="24" borderId="12" applyNumberFormat="0" applyBorder="0" applyAlignment="0" applyProtection="0"/>
    <xf numFmtId="0" fontId="28" fillId="8" borderId="4" applyNumberFormat="0" applyAlignment="0" applyProtection="0"/>
    <xf numFmtId="38" fontId="29" fillId="0" borderId="0">
      <alignment horizontal="left" wrapText="1"/>
    </xf>
    <xf numFmtId="38" fontId="30" fillId="0" borderId="0">
      <alignment horizontal="left" wrapText="1"/>
    </xf>
    <xf numFmtId="0" fontId="31" fillId="25" borderId="6"/>
    <xf numFmtId="0" fontId="32" fillId="0" borderId="13" applyNumberFormat="0" applyFill="0" applyAlignment="0" applyProtection="0"/>
    <xf numFmtId="175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166" fontId="35" fillId="0" borderId="0" applyFont="0" applyAlignment="0" applyProtection="0"/>
    <xf numFmtId="0" fontId="3" fillId="0" borderId="14" applyNumberFormat="0" applyBorder="0" applyAlignment="0"/>
    <xf numFmtId="176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41" fontId="1" fillId="0" borderId="0"/>
    <xf numFmtId="0" fontId="1" fillId="0" borderId="0"/>
    <xf numFmtId="0" fontId="14" fillId="0" borderId="0"/>
    <xf numFmtId="0" fontId="1" fillId="0" borderId="0"/>
    <xf numFmtId="41" fontId="37" fillId="0" borderId="0" applyFont="0" applyFill="0" applyBorder="0" applyAlignment="0" applyProtection="0"/>
    <xf numFmtId="177" fontId="1" fillId="0" borderId="0"/>
    <xf numFmtId="0" fontId="1" fillId="0" borderId="0"/>
    <xf numFmtId="0" fontId="1" fillId="0" borderId="0"/>
    <xf numFmtId="177" fontId="1" fillId="0" borderId="0"/>
    <xf numFmtId="0" fontId="13" fillId="0" borderId="0"/>
    <xf numFmtId="0" fontId="1" fillId="0" borderId="0"/>
    <xf numFmtId="0" fontId="36" fillId="0" borderId="0"/>
    <xf numFmtId="37" fontId="15" fillId="0" borderId="0"/>
    <xf numFmtId="0" fontId="38" fillId="27" borderId="15" applyNumberFormat="0" applyFont="0" applyAlignment="0" applyProtection="0"/>
    <xf numFmtId="0" fontId="39" fillId="21" borderId="16" applyNumberFormat="0" applyAlignment="0" applyProtection="0"/>
    <xf numFmtId="40" fontId="13" fillId="28" borderId="0">
      <alignment horizontal="right"/>
    </xf>
    <xf numFmtId="0" fontId="40" fillId="28" borderId="0">
      <alignment horizontal="left"/>
    </xf>
    <xf numFmtId="12" fontId="22" fillId="29" borderId="17">
      <alignment horizontal="left"/>
    </xf>
    <xf numFmtId="0" fontId="15" fillId="0" borderId="0"/>
    <xf numFmtId="0" fontId="15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/>
    <xf numFmtId="0" fontId="17" fillId="0" borderId="0"/>
    <xf numFmtId="4" fontId="40" fillId="26" borderId="18" applyNumberFormat="0" applyProtection="0">
      <alignment vertical="center"/>
    </xf>
    <xf numFmtId="4" fontId="43" fillId="30" borderId="18" applyNumberFormat="0" applyProtection="0">
      <alignment vertical="center"/>
    </xf>
    <xf numFmtId="4" fontId="40" fillId="30" borderId="18" applyNumberFormat="0" applyProtection="0">
      <alignment vertical="center"/>
    </xf>
    <xf numFmtId="0" fontId="40" fillId="30" borderId="18" applyNumberFormat="0" applyProtection="0">
      <alignment horizontal="left" vertical="top" indent="1"/>
    </xf>
    <xf numFmtId="4" fontId="40" fillId="31" borderId="19" applyNumberFormat="0" applyProtection="0">
      <alignment vertical="center"/>
    </xf>
    <xf numFmtId="4" fontId="13" fillId="4" borderId="18" applyNumberFormat="0" applyProtection="0">
      <alignment horizontal="right" vertical="center"/>
    </xf>
    <xf numFmtId="4" fontId="13" fillId="10" borderId="18" applyNumberFormat="0" applyProtection="0">
      <alignment horizontal="right" vertical="center"/>
    </xf>
    <xf numFmtId="4" fontId="13" fillId="18" borderId="18" applyNumberFormat="0" applyProtection="0">
      <alignment horizontal="right" vertical="center"/>
    </xf>
    <xf numFmtId="4" fontId="13" fillId="12" borderId="18" applyNumberFormat="0" applyProtection="0">
      <alignment horizontal="right" vertical="center"/>
    </xf>
    <xf numFmtId="4" fontId="13" fillId="16" borderId="18" applyNumberFormat="0" applyProtection="0">
      <alignment horizontal="right" vertical="center"/>
    </xf>
    <xf numFmtId="4" fontId="13" fillId="20" borderId="18" applyNumberFormat="0" applyProtection="0">
      <alignment horizontal="right" vertical="center"/>
    </xf>
    <xf numFmtId="4" fontId="13" fillId="19" borderId="18" applyNumberFormat="0" applyProtection="0">
      <alignment horizontal="right" vertical="center"/>
    </xf>
    <xf numFmtId="4" fontId="13" fillId="32" borderId="18" applyNumberFormat="0" applyProtection="0">
      <alignment horizontal="right" vertical="center"/>
    </xf>
    <xf numFmtId="4" fontId="13" fillId="11" borderId="18" applyNumberFormat="0" applyProtection="0">
      <alignment horizontal="right" vertical="center"/>
    </xf>
    <xf numFmtId="4" fontId="40" fillId="33" borderId="20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44" fillId="35" borderId="0" applyNumberFormat="0" applyProtection="0">
      <alignment horizontal="left" vertical="center" indent="1"/>
    </xf>
    <xf numFmtId="4" fontId="13" fillId="36" borderId="18" applyNumberFormat="0" applyProtection="0">
      <alignment horizontal="right" vertical="center"/>
    </xf>
    <xf numFmtId="4" fontId="45" fillId="0" borderId="0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0" fontId="1" fillId="35" borderId="18" applyNumberFormat="0" applyProtection="0">
      <alignment horizontal="left" vertical="center" indent="1"/>
    </xf>
    <xf numFmtId="0" fontId="1" fillId="35" borderId="18" applyNumberFormat="0" applyProtection="0">
      <alignment horizontal="left" vertical="top" indent="1"/>
    </xf>
    <xf numFmtId="0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top" indent="1"/>
    </xf>
    <xf numFmtId="0" fontId="1" fillId="37" borderId="18" applyNumberFormat="0" applyProtection="0">
      <alignment horizontal="left" vertical="center" indent="1"/>
    </xf>
    <xf numFmtId="0" fontId="1" fillId="37" borderId="18" applyNumberFormat="0" applyProtection="0">
      <alignment horizontal="left" vertical="top" indent="1"/>
    </xf>
    <xf numFmtId="0" fontId="1" fillId="38" borderId="18" applyNumberFormat="0" applyProtection="0">
      <alignment horizontal="left" vertical="center" indent="1"/>
    </xf>
    <xf numFmtId="0" fontId="1" fillId="38" borderId="18" applyNumberFormat="0" applyProtection="0">
      <alignment horizontal="left" vertical="top" indent="1"/>
    </xf>
    <xf numFmtId="4" fontId="13" fillId="24" borderId="18" applyNumberFormat="0" applyProtection="0">
      <alignment vertical="center"/>
    </xf>
    <xf numFmtId="4" fontId="47" fillId="24" borderId="18" applyNumberFormat="0" applyProtection="0">
      <alignment vertical="center"/>
    </xf>
    <xf numFmtId="4" fontId="13" fillId="24" borderId="18" applyNumberFormat="0" applyProtection="0">
      <alignment horizontal="left" vertical="center" indent="1"/>
    </xf>
    <xf numFmtId="0" fontId="13" fillId="24" borderId="18" applyNumberFormat="0" applyProtection="0">
      <alignment horizontal="left" vertical="top" indent="1"/>
    </xf>
    <xf numFmtId="4" fontId="13" fillId="28" borderId="21" applyNumberFormat="0" applyProtection="0">
      <alignment horizontal="right" vertical="center"/>
    </xf>
    <xf numFmtId="4" fontId="47" fillId="34" borderId="18" applyNumberFormat="0" applyProtection="0">
      <alignment horizontal="right" vertical="center"/>
    </xf>
    <xf numFmtId="4" fontId="13" fillId="36" borderId="18" applyNumberFormat="0" applyProtection="0">
      <alignment horizontal="left" vertical="center" indent="1"/>
    </xf>
    <xf numFmtId="0" fontId="13" fillId="31" borderId="18" applyNumberFormat="0" applyProtection="0">
      <alignment horizontal="center" vertical="top"/>
    </xf>
    <xf numFmtId="4" fontId="48" fillId="0" borderId="0" applyNumberFormat="0" applyProtection="0">
      <alignment horizontal="left" vertical="center"/>
    </xf>
    <xf numFmtId="4" fontId="49" fillId="39" borderId="0" applyNumberFormat="0" applyProtection="0">
      <alignment horizontal="left"/>
    </xf>
    <xf numFmtId="4" fontId="50" fillId="34" borderId="18" applyNumberFormat="0" applyProtection="0">
      <alignment horizontal="right" vertical="center"/>
    </xf>
    <xf numFmtId="37" fontId="51" fillId="40" borderId="0" applyNumberFormat="0" applyFont="0" applyBorder="0" applyAlignment="0" applyProtection="0"/>
    <xf numFmtId="178" fontId="1" fillId="0" borderId="22">
      <alignment horizontal="justify" vertical="top" wrapText="1"/>
    </xf>
    <xf numFmtId="0" fontId="52" fillId="41" borderId="23"/>
    <xf numFmtId="0" fontId="17" fillId="0" borderId="6"/>
    <xf numFmtId="38" fontId="1" fillId="0" borderId="0">
      <alignment horizontal="left" wrapText="1"/>
    </xf>
    <xf numFmtId="0" fontId="53" fillId="42" borderId="0"/>
    <xf numFmtId="0" fontId="54" fillId="0" borderId="0" applyNumberFormat="0" applyFill="0" applyBorder="0" applyAlignment="0" applyProtection="0"/>
    <xf numFmtId="0" fontId="4" fillId="0" borderId="12">
      <alignment horizontal="center" vertical="center" wrapText="1"/>
    </xf>
    <xf numFmtId="0" fontId="55" fillId="0" borderId="24" applyNumberFormat="0" applyFill="0" applyAlignment="0" applyProtection="0"/>
    <xf numFmtId="0" fontId="15" fillId="0" borderId="25"/>
    <xf numFmtId="0" fontId="31" fillId="0" borderId="26"/>
    <xf numFmtId="0" fontId="31" fillId="0" borderId="6"/>
    <xf numFmtId="179" fontId="56" fillId="0" borderId="0">
      <alignment horizontal="left"/>
    </xf>
    <xf numFmtId="0" fontId="15" fillId="0" borderId="27"/>
    <xf numFmtId="38" fontId="13" fillId="0" borderId="28" applyFill="0" applyBorder="0" applyAlignment="0" applyProtection="0">
      <protection locked="0"/>
    </xf>
    <xf numFmtId="37" fontId="3" fillId="30" borderId="0" applyNumberFormat="0" applyBorder="0" applyAlignment="0" applyProtection="0"/>
    <xf numFmtId="37" fontId="3" fillId="0" borderId="0"/>
    <xf numFmtId="37" fontId="3" fillId="0" borderId="0"/>
    <xf numFmtId="3" fontId="57" fillId="43" borderId="29" applyProtection="0"/>
    <xf numFmtId="0" fontId="58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164" fontId="0" fillId="2" borderId="0" xfId="0" applyNumberFormat="1" applyFill="1" applyAlignment="1">
      <alignment horizontal="right"/>
    </xf>
    <xf numFmtId="0" fontId="0" fillId="2" borderId="0" xfId="0" applyFont="1" applyFill="1" applyAlignment="1">
      <alignment horizontal="left" vertical="center" wrapText="1"/>
    </xf>
    <xf numFmtId="164" fontId="4" fillId="2" borderId="0" xfId="1" applyNumberFormat="1" applyFont="1" applyFill="1" applyAlignment="1">
      <alignment horizontal="right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164" fontId="0" fillId="2" borderId="2" xfId="0" applyNumberFormat="1" applyFill="1" applyBorder="1" applyAlignment="1">
      <alignment horizontal="right"/>
    </xf>
    <xf numFmtId="164" fontId="0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 wrapText="1"/>
    </xf>
    <xf numFmtId="164" fontId="0" fillId="2" borderId="0" xfId="1" applyNumberFormat="1" applyFont="1" applyFill="1" applyAlignment="1">
      <alignment horizontal="right"/>
    </xf>
    <xf numFmtId="10" fontId="0" fillId="2" borderId="0" xfId="0" applyNumberFormat="1" applyFill="1" applyAlignment="1">
      <alignment horizontal="right"/>
    </xf>
    <xf numFmtId="10" fontId="0" fillId="2" borderId="0" xfId="3" applyNumberFormat="1" applyFont="1" applyFill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165" fontId="1" fillId="2" borderId="0" xfId="2" applyNumberFormat="1" applyFont="1" applyFill="1" applyBorder="1" applyAlignment="1">
      <alignment horizontal="right" vertical="center"/>
    </xf>
    <xf numFmtId="166" fontId="0" fillId="2" borderId="0" xfId="0" applyNumberFormat="1" applyFill="1" applyAlignment="1">
      <alignment horizontal="right"/>
    </xf>
    <xf numFmtId="165" fontId="4" fillId="2" borderId="0" xfId="2" applyNumberFormat="1" applyFont="1" applyFill="1" applyBorder="1" applyAlignment="1">
      <alignment horizontal="right" vertical="center"/>
    </xf>
    <xf numFmtId="167" fontId="0" fillId="2" borderId="0" xfId="0" applyNumberFormat="1" applyFill="1" applyAlignment="1">
      <alignment horizontal="right"/>
    </xf>
    <xf numFmtId="41" fontId="0" fillId="2" borderId="0" xfId="0" applyNumberFormat="1" applyFill="1" applyAlignment="1">
      <alignment horizontal="right"/>
    </xf>
    <xf numFmtId="164" fontId="0" fillId="2" borderId="3" xfId="0" applyNumberFormat="1" applyFill="1" applyBorder="1" applyAlignment="1">
      <alignment horizontal="right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4" fillId="2" borderId="3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41" fontId="0" fillId="2" borderId="2" xfId="0" applyNumberFormat="1" applyFill="1" applyBorder="1" applyAlignment="1">
      <alignment horizontal="right"/>
    </xf>
    <xf numFmtId="164" fontId="0" fillId="2" borderId="3" xfId="1" applyNumberFormat="1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 vertical="center"/>
    </xf>
    <xf numFmtId="164" fontId="0" fillId="2" borderId="0" xfId="2" applyNumberFormat="1" applyFont="1" applyFill="1" applyAlignment="1">
      <alignment horizontal="right"/>
    </xf>
    <xf numFmtId="168" fontId="0" fillId="2" borderId="0" xfId="0" applyNumberFormat="1" applyFill="1" applyAlignment="1">
      <alignment horizontal="right"/>
    </xf>
    <xf numFmtId="168" fontId="0" fillId="2" borderId="0" xfId="1" applyNumberFormat="1" applyFont="1" applyFill="1" applyAlignment="1">
      <alignment horizontal="right"/>
    </xf>
    <xf numFmtId="165" fontId="1" fillId="2" borderId="3" xfId="2" applyNumberFormat="1" applyFont="1" applyFill="1" applyBorder="1" applyAlignment="1">
      <alignment horizontal="right" vertical="center"/>
    </xf>
    <xf numFmtId="166" fontId="0" fillId="2" borderId="2" xfId="0" applyNumberFormat="1" applyFill="1" applyBorder="1" applyAlignment="1">
      <alignment horizontal="right"/>
    </xf>
    <xf numFmtId="166" fontId="0" fillId="2" borderId="0" xfId="1" applyNumberFormat="1" applyFont="1" applyFill="1" applyAlignment="1">
      <alignment horizontal="right"/>
    </xf>
    <xf numFmtId="42" fontId="0" fillId="2" borderId="0" xfId="0" applyNumberFormat="1" applyFill="1" applyAlignment="1">
      <alignment horizontal="right"/>
    </xf>
    <xf numFmtId="42" fontId="0" fillId="2" borderId="0" xfId="1" applyNumberFormat="1" applyFont="1" applyFill="1" applyAlignment="1">
      <alignment horizontal="right"/>
    </xf>
    <xf numFmtId="169" fontId="4" fillId="2" borderId="2" xfId="0" applyNumberFormat="1" applyFont="1" applyFill="1" applyBorder="1" applyAlignment="1">
      <alignment horizontal="center" vertical="center"/>
    </xf>
    <xf numFmtId="16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</cellXfs>
  <cellStyles count="244">
    <cellStyle name="_x0013_" xfId="4"/>
    <cellStyle name="_x0013_ 2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ancel" xfId="32"/>
    <cellStyle name="Check Cell 2" xfId="33"/>
    <cellStyle name="Column total in dollars" xfId="34"/>
    <cellStyle name="Comma" xfId="1" builtinId="3"/>
    <cellStyle name="Comma  - Style1" xfId="35"/>
    <cellStyle name="Comma  - Style2" xfId="36"/>
    <cellStyle name="Comma  - Style3" xfId="37"/>
    <cellStyle name="Comma  - Style4" xfId="38"/>
    <cellStyle name="Comma  - Style5" xfId="39"/>
    <cellStyle name="Comma  - Style6" xfId="40"/>
    <cellStyle name="Comma  - Style7" xfId="41"/>
    <cellStyle name="Comma  - Style8" xfId="42"/>
    <cellStyle name="Comma (0)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2 2" xfId="56"/>
    <cellStyle name="Comma 2 3" xfId="57"/>
    <cellStyle name="Comma 20" xfId="58"/>
    <cellStyle name="Comma 3" xfId="59"/>
    <cellStyle name="Comma 3 2" xfId="60"/>
    <cellStyle name="Comma 4" xfId="61"/>
    <cellStyle name="Comma 5" xfId="62"/>
    <cellStyle name="Comma 6" xfId="63"/>
    <cellStyle name="Comma 7" xfId="64"/>
    <cellStyle name="Comma 8" xfId="65"/>
    <cellStyle name="Comma 9" xfId="66"/>
    <cellStyle name="Comma0" xfId="67"/>
    <cellStyle name="Comma0 - Style1" xfId="68"/>
    <cellStyle name="Comma0 - Style2" xfId="69"/>
    <cellStyle name="Comma0 - Style3" xfId="70"/>
    <cellStyle name="Comma0 - Style4" xfId="71"/>
    <cellStyle name="Comma0_FY05 Property tax M-1 by jurisdiction for FY06 Q3 true up" xfId="72"/>
    <cellStyle name="Comma1 - Style1" xfId="73"/>
    <cellStyle name="Curren - Style2" xfId="74"/>
    <cellStyle name="Curren - Style3" xfId="75"/>
    <cellStyle name="Currency" xfId="2" builtinId="4"/>
    <cellStyle name="Currency 2" xfId="76"/>
    <cellStyle name="Currency 2 2" xfId="77"/>
    <cellStyle name="Currency 2 2 2" xfId="78"/>
    <cellStyle name="Currency 3" xfId="79"/>
    <cellStyle name="Currency No Comma" xfId="80"/>
    <cellStyle name="Currency(0)" xfId="81"/>
    <cellStyle name="Currency0" xfId="82"/>
    <cellStyle name="Custom - Style8" xfId="83"/>
    <cellStyle name="Data   - Style2" xfId="84"/>
    <cellStyle name="Date" xfId="85"/>
    <cellStyle name="Date - Style1" xfId="86"/>
    <cellStyle name="Date - Style3" xfId="87"/>
    <cellStyle name="Date_FY05 Property tax M-1 by jurisdiction for FY06 Q3 true up" xfId="88"/>
    <cellStyle name="Explanatory Text 2" xfId="89"/>
    <cellStyle name="Fixed" xfId="90"/>
    <cellStyle name="Fixed2 - Style2" xfId="91"/>
    <cellStyle name="General" xfId="92"/>
    <cellStyle name="Good 2" xfId="93"/>
    <cellStyle name="Grey" xfId="94"/>
    <cellStyle name="header" xfId="95"/>
    <cellStyle name="Header1" xfId="96"/>
    <cellStyle name="Header2" xfId="97"/>
    <cellStyle name="Heading 1 2" xfId="98"/>
    <cellStyle name="Heading 2 2" xfId="99"/>
    <cellStyle name="Heading 3 2" xfId="100"/>
    <cellStyle name="Heading 4 2" xfId="101"/>
    <cellStyle name="Heading1" xfId="102"/>
    <cellStyle name="Heading2" xfId="103"/>
    <cellStyle name="Hyperlink 2" xfId="104"/>
    <cellStyle name="Hyperlink 3" xfId="105"/>
    <cellStyle name="Input [yellow]" xfId="106"/>
    <cellStyle name="Input 2" xfId="107"/>
    <cellStyle name="Inst. Sections" xfId="108"/>
    <cellStyle name="Inst. Subheading" xfId="109"/>
    <cellStyle name="Labels - Style3" xfId="110"/>
    <cellStyle name="Linked Cell 2" xfId="111"/>
    <cellStyle name="MCP" xfId="112"/>
    <cellStyle name="Neutral 2" xfId="113"/>
    <cellStyle name="nONE" xfId="114"/>
    <cellStyle name="noninput" xfId="115"/>
    <cellStyle name="Normal" xfId="0" builtinId="0"/>
    <cellStyle name="Normal - Style1" xfId="116"/>
    <cellStyle name="Normal 10" xfId="117"/>
    <cellStyle name="Normal 11" xfId="118"/>
    <cellStyle name="Normal 12" xfId="119"/>
    <cellStyle name="Normal 13" xfId="120"/>
    <cellStyle name="Normal 14" xfId="121"/>
    <cellStyle name="Normal 15" xfId="122"/>
    <cellStyle name="Normal 15 2" xfId="123"/>
    <cellStyle name="Normal 16" xfId="124"/>
    <cellStyle name="Normal 17" xfId="125"/>
    <cellStyle name="Normal 18" xfId="126"/>
    <cellStyle name="Normal 19" xfId="127"/>
    <cellStyle name="Normal 2" xfId="128"/>
    <cellStyle name="Normal 2 2" xfId="129"/>
    <cellStyle name="Normal 2 3" xfId="130"/>
    <cellStyle name="Normal 2 3 2" xfId="131"/>
    <cellStyle name="Normal 2 4" xfId="132"/>
    <cellStyle name="Normal 2 5" xfId="133"/>
    <cellStyle name="Normal 20" xfId="134"/>
    <cellStyle name="Normal 21" xfId="135"/>
    <cellStyle name="Normal 22" xfId="136"/>
    <cellStyle name="Normal 23" xfId="137"/>
    <cellStyle name="Normal 24" xfId="138"/>
    <cellStyle name="Normal 3" xfId="139"/>
    <cellStyle name="Normal 3 2" xfId="140"/>
    <cellStyle name="Normal 3 2 2" xfId="141"/>
    <cellStyle name="Normal 3 3" xfId="142"/>
    <cellStyle name="Normal 4" xfId="143"/>
    <cellStyle name="Normal 4 2" xfId="144"/>
    <cellStyle name="Normal 5" xfId="145"/>
    <cellStyle name="Normal 5 2" xfId="146"/>
    <cellStyle name="Normal 6" xfId="147"/>
    <cellStyle name="Normal 6 2" xfId="148"/>
    <cellStyle name="Normal 7" xfId="149"/>
    <cellStyle name="Normal 8" xfId="150"/>
    <cellStyle name="Normal 9" xfId="151"/>
    <cellStyle name="Normal(0)" xfId="152"/>
    <cellStyle name="Note 2" xfId="153"/>
    <cellStyle name="Output 2" xfId="154"/>
    <cellStyle name="Output Amounts" xfId="155"/>
    <cellStyle name="Output Line Items" xfId="156"/>
    <cellStyle name="Password" xfId="157"/>
    <cellStyle name="Percen - Style1" xfId="158"/>
    <cellStyle name="Percen - Style2" xfId="159"/>
    <cellStyle name="Percent" xfId="3" builtinId="5"/>
    <cellStyle name="Percent [2]" xfId="160"/>
    <cellStyle name="Percent 10" xfId="161"/>
    <cellStyle name="Percent 11" xfId="162"/>
    <cellStyle name="Percent 12" xfId="163"/>
    <cellStyle name="Percent 13" xfId="164"/>
    <cellStyle name="Percent 14" xfId="165"/>
    <cellStyle name="Percent 15" xfId="166"/>
    <cellStyle name="Percent 16" xfId="167"/>
    <cellStyle name="Percent 17" xfId="168"/>
    <cellStyle name="Percent 18" xfId="169"/>
    <cellStyle name="Percent 19" xfId="170"/>
    <cellStyle name="Percent 2" xfId="171"/>
    <cellStyle name="Percent 2 2" xfId="172"/>
    <cellStyle name="Percent 2 2 2" xfId="173"/>
    <cellStyle name="Percent 2 3" xfId="174"/>
    <cellStyle name="Percent 3" xfId="175"/>
    <cellStyle name="Percent 3 2" xfId="176"/>
    <cellStyle name="Percent 4" xfId="177"/>
    <cellStyle name="Percent 5" xfId="178"/>
    <cellStyle name="Percent 6" xfId="179"/>
    <cellStyle name="Percent 7" xfId="180"/>
    <cellStyle name="Percent 8" xfId="181"/>
    <cellStyle name="Percent 9" xfId="182"/>
    <cellStyle name="Percent(0)" xfId="183"/>
    <cellStyle name="Reset  - Style7" xfId="184"/>
    <cellStyle name="SAPBEXaggData" xfId="185"/>
    <cellStyle name="SAPBEXaggDataEmph" xfId="186"/>
    <cellStyle name="SAPBEXaggItem" xfId="187"/>
    <cellStyle name="SAPBEXaggItemX" xfId="188"/>
    <cellStyle name="SAPBEXchaText" xfId="189"/>
    <cellStyle name="SAPBEXexcBad7" xfId="190"/>
    <cellStyle name="SAPBEXexcBad8" xfId="191"/>
    <cellStyle name="SAPBEXexcBad9" xfId="192"/>
    <cellStyle name="SAPBEXexcCritical4" xfId="193"/>
    <cellStyle name="SAPBEXexcCritical5" xfId="194"/>
    <cellStyle name="SAPBEXexcCritical6" xfId="195"/>
    <cellStyle name="SAPBEXexcGood1" xfId="196"/>
    <cellStyle name="SAPBEXexcGood2" xfId="197"/>
    <cellStyle name="SAPBEXexcGood3" xfId="198"/>
    <cellStyle name="SAPBEXfilterDrill" xfId="199"/>
    <cellStyle name="SAPBEXfilterItem" xfId="200"/>
    <cellStyle name="SAPBEXfilterText" xfId="201"/>
    <cellStyle name="SAPBEXformats" xfId="202"/>
    <cellStyle name="SAPBEXheaderItem" xfId="203"/>
    <cellStyle name="SAPBEXheaderText" xfId="204"/>
    <cellStyle name="SAPBEXHLevel0" xfId="205"/>
    <cellStyle name="SAPBEXHLevel0X" xfId="206"/>
    <cellStyle name="SAPBEXHLevel1" xfId="207"/>
    <cellStyle name="SAPBEXHLevel1X" xfId="208"/>
    <cellStyle name="SAPBEXHLevel2" xfId="209"/>
    <cellStyle name="SAPBEXHLevel2X" xfId="210"/>
    <cellStyle name="SAPBEXHLevel3" xfId="211"/>
    <cellStyle name="SAPBEXHLevel3X" xfId="212"/>
    <cellStyle name="SAPBEXresData" xfId="213"/>
    <cellStyle name="SAPBEXresDataEmph" xfId="214"/>
    <cellStyle name="SAPBEXresItem" xfId="215"/>
    <cellStyle name="SAPBEXresItemX" xfId="216"/>
    <cellStyle name="SAPBEXstdData" xfId="217"/>
    <cellStyle name="SAPBEXstdDataEmph" xfId="218"/>
    <cellStyle name="SAPBEXstdItem" xfId="219"/>
    <cellStyle name="SAPBEXstdItemX" xfId="220"/>
    <cellStyle name="SAPBEXtitle" xfId="221"/>
    <cellStyle name="SAPBEXtitle 2" xfId="222"/>
    <cellStyle name="SAPBEXundefined" xfId="223"/>
    <cellStyle name="Shade" xfId="224"/>
    <cellStyle name="Special" xfId="225"/>
    <cellStyle name="STYL1 - Style1" xfId="226"/>
    <cellStyle name="Table  - Style6" xfId="227"/>
    <cellStyle name="Text" xfId="228"/>
    <cellStyle name="Title  - Style1" xfId="229"/>
    <cellStyle name="Title 2" xfId="230"/>
    <cellStyle name="Titles" xfId="231"/>
    <cellStyle name="Total 2" xfId="232"/>
    <cellStyle name="Total2 - Style2" xfId="233"/>
    <cellStyle name="TotCol - Style5" xfId="234"/>
    <cellStyle name="TotRow - Style4" xfId="235"/>
    <cellStyle name="TRANSMISSION RELIABILITY PORTION OF PROJECT" xfId="236"/>
    <cellStyle name="Underl - Style4" xfId="237"/>
    <cellStyle name="UNLocked" xfId="238"/>
    <cellStyle name="Unprot" xfId="239"/>
    <cellStyle name="Unprot$" xfId="240"/>
    <cellStyle name="Unprot$ 2" xfId="241"/>
    <cellStyle name="Unprotect" xfId="242"/>
    <cellStyle name="Warning Text 2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4251\AppData\Local\Microsoft\Windows\Temporary%20Internet%20Files\Content.Outlook\2IHY3YE2\Confidential%20EBA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EBA Summary"/>
      <sheetName val="(Exh.2) Comm Ord Methd"/>
      <sheetName val="(Exh.3) A1 Scalar Method"/>
      <sheetName val="(Exh.4) A2 Method"/>
      <sheetName val="(Exh.5) A3 Method"/>
      <sheetName val="(6.1) UT Allocated Actual NPC"/>
      <sheetName val="(6.2) Adj Actual NPC by Cat"/>
      <sheetName val="(6.3) Adj Actual NPC"/>
      <sheetName val="(6.4) Adjustments"/>
      <sheetName val="(6.5) Actual NPC"/>
      <sheetName val="(7.1) Prorated Base NPC"/>
      <sheetName val="(7.2) Allctd Base NPC (GRC12)"/>
      <sheetName val="(7.3) Base NPC by Cat (GRC12)"/>
      <sheetName val="(7.4) Base UTGRC12 Stlmt NPC"/>
      <sheetName val="(7.5) Allctd Base NPC (GRC14)"/>
      <sheetName val="(7.6) Base NPC by Cat (GRC14)"/>
      <sheetName val="(7.7) Base UTGRC14 Stlmt NPC"/>
      <sheetName val="(8.1) Wheeling Revenues"/>
      <sheetName val="(8.2) Additional FERC Revenues"/>
      <sheetName val="(9.1) Actual Factors"/>
      <sheetName val="(9.2) Dynamic Scalar"/>
      <sheetName val="(9.3) Utah Sales"/>
      <sheetName val="Confidential EBA Workpapers"/>
    </sheetNames>
    <sheetDataSet>
      <sheetData sheetId="0">
        <row r="4">
          <cell r="C4" t="str">
            <v>Utah Energy Balancing Account Mechanism</v>
          </cell>
        </row>
      </sheetData>
      <sheetData sheetId="1"/>
      <sheetData sheetId="2"/>
      <sheetData sheetId="3">
        <row r="10">
          <cell r="N10">
            <v>57129196.588008054</v>
          </cell>
        </row>
      </sheetData>
      <sheetData sheetId="4">
        <row r="10">
          <cell r="F10">
            <v>142490990.80185881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6"/>
      <sheetData sheetId="17"/>
      <sheetData sheetId="18"/>
      <sheetData sheetId="19">
        <row r="10">
          <cell r="B10">
            <v>0</v>
          </cell>
        </row>
      </sheetData>
      <sheetData sheetId="20">
        <row r="23">
          <cell r="J23">
            <v>-1204554</v>
          </cell>
        </row>
      </sheetData>
      <sheetData sheetId="21"/>
      <sheetData sheetId="22"/>
      <sheetData sheetId="23">
        <row r="9">
          <cell r="B9">
            <v>0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56" sqref="S56"/>
    </sheetView>
  </sheetViews>
  <sheetFormatPr defaultRowHeight="12.75"/>
  <cols>
    <col min="1" max="1" width="5.5703125" style="1" customWidth="1"/>
    <col min="2" max="2" width="45" style="1" bestFit="1" customWidth="1"/>
    <col min="3" max="3" width="2.28515625" style="1" customWidth="1"/>
    <col min="4" max="4" width="32.85546875" style="2" bestFit="1" customWidth="1"/>
    <col min="5" max="5" width="2.28515625" style="1" customWidth="1"/>
    <col min="6" max="6" width="15.140625" style="1" bestFit="1" customWidth="1"/>
    <col min="7" max="10" width="16.28515625" style="1" bestFit="1" customWidth="1"/>
    <col min="11" max="12" width="14.5703125" style="1" customWidth="1"/>
    <col min="13" max="13" width="16.28515625" style="1" bestFit="1" customWidth="1"/>
    <col min="14" max="17" width="14" style="1" customWidth="1"/>
    <col min="18" max="18" width="9.140625" style="1"/>
    <col min="19" max="19" width="16.42578125" style="1" bestFit="1" customWidth="1"/>
    <col min="20" max="16384" width="9.140625" style="1"/>
  </cols>
  <sheetData>
    <row r="1" spans="1:19">
      <c r="A1" s="11" t="s">
        <v>44</v>
      </c>
    </row>
    <row r="2" spans="1:19">
      <c r="A2" s="11" t="s">
        <v>45</v>
      </c>
    </row>
    <row r="3" spans="1:19">
      <c r="A3" s="11" t="s">
        <v>46</v>
      </c>
    </row>
    <row r="6" spans="1:19" ht="25.5">
      <c r="A6" s="53" t="s">
        <v>41</v>
      </c>
      <c r="B6" s="52"/>
      <c r="C6" s="7"/>
      <c r="D6" s="51" t="s">
        <v>40</v>
      </c>
      <c r="E6" s="7"/>
      <c r="F6" s="50">
        <v>41640</v>
      </c>
      <c r="G6" s="50">
        <f t="shared" ref="G6:Q6" si="0">EDATE(F6,1)</f>
        <v>41671</v>
      </c>
      <c r="H6" s="50">
        <f t="shared" si="0"/>
        <v>41699</v>
      </c>
      <c r="I6" s="50">
        <f t="shared" si="0"/>
        <v>41730</v>
      </c>
      <c r="J6" s="50">
        <f t="shared" si="0"/>
        <v>41760</v>
      </c>
      <c r="K6" s="50">
        <f t="shared" si="0"/>
        <v>41791</v>
      </c>
      <c r="L6" s="50">
        <f t="shared" si="0"/>
        <v>41821</v>
      </c>
      <c r="M6" s="50">
        <f t="shared" si="0"/>
        <v>41852</v>
      </c>
      <c r="N6" s="50">
        <f t="shared" si="0"/>
        <v>41883</v>
      </c>
      <c r="O6" s="50">
        <f t="shared" si="0"/>
        <v>41913</v>
      </c>
      <c r="P6" s="50">
        <f t="shared" si="0"/>
        <v>41944</v>
      </c>
      <c r="Q6" s="50">
        <f t="shared" si="0"/>
        <v>41974</v>
      </c>
      <c r="R6" s="7"/>
      <c r="S6" s="50" t="s">
        <v>39</v>
      </c>
    </row>
    <row r="8" spans="1:19">
      <c r="A8" s="11" t="s">
        <v>38</v>
      </c>
      <c r="B8" s="34"/>
    </row>
    <row r="9" spans="1:19">
      <c r="A9" s="13">
        <f>+MAX($A$1:A8)+1</f>
        <v>1</v>
      </c>
      <c r="B9" s="34" t="s">
        <v>37</v>
      </c>
      <c r="D9" s="2" t="s">
        <v>35</v>
      </c>
      <c r="F9" s="49">
        <v>142490990.80185881</v>
      </c>
      <c r="G9" s="49">
        <v>137958039.45985019</v>
      </c>
      <c r="H9" s="49">
        <v>124278106.05253096</v>
      </c>
      <c r="I9" s="49">
        <v>116138531.04616745</v>
      </c>
      <c r="J9" s="49">
        <v>126144229.95149589</v>
      </c>
      <c r="K9" s="49">
        <v>135151761.84820035</v>
      </c>
      <c r="L9" s="49">
        <v>176920781.16484326</v>
      </c>
      <c r="M9" s="49">
        <v>153010914.51896536</v>
      </c>
      <c r="N9" s="9"/>
      <c r="O9" s="9"/>
      <c r="P9" s="9"/>
      <c r="Q9" s="9"/>
      <c r="R9" s="9"/>
      <c r="S9" s="48">
        <f>SUM(F9:M9)</f>
        <v>1112093354.8439121</v>
      </c>
    </row>
    <row r="10" spans="1:19">
      <c r="A10" s="13">
        <f>+MAX($A$1:A9)+1</f>
        <v>2</v>
      </c>
      <c r="B10" s="34" t="s">
        <v>36</v>
      </c>
      <c r="D10" s="2" t="s">
        <v>35</v>
      </c>
      <c r="F10" s="47">
        <v>5361677.3850589273</v>
      </c>
      <c r="G10" s="47">
        <v>4729722.7542817788</v>
      </c>
      <c r="H10" s="47">
        <v>4785777.3161140708</v>
      </c>
      <c r="I10" s="47">
        <v>4493349.1984185455</v>
      </c>
      <c r="J10" s="47">
        <v>4804500.7936088042</v>
      </c>
      <c r="K10" s="47">
        <v>4986123.5046670251</v>
      </c>
      <c r="L10" s="47">
        <v>5897137.8812926309</v>
      </c>
      <c r="M10" s="47">
        <v>5331001.4396203952</v>
      </c>
      <c r="N10" s="9"/>
      <c r="O10" s="9"/>
      <c r="P10" s="9"/>
      <c r="Q10" s="9"/>
      <c r="R10" s="9"/>
      <c r="S10" s="46">
        <f>SUM(F10:M10)</f>
        <v>40389290.273062184</v>
      </c>
    </row>
    <row r="11" spans="1:19">
      <c r="A11" s="13">
        <f>+MAX($A$1:A10)+1</f>
        <v>3</v>
      </c>
      <c r="B11" s="34" t="s">
        <v>34</v>
      </c>
      <c r="D11" s="27" t="str">
        <f>"Line "&amp; $A$9&amp;" / Line "&amp;$A$10&amp;""</f>
        <v>Line 1 / Line 2</v>
      </c>
      <c r="F11" s="45">
        <f t="shared" ref="F11:M11" si="1">+F9/F10</f>
        <v>26.575823304649049</v>
      </c>
      <c r="G11" s="45">
        <f t="shared" si="1"/>
        <v>29.1683142177748</v>
      </c>
      <c r="H11" s="45">
        <f t="shared" si="1"/>
        <v>25.968217458442385</v>
      </c>
      <c r="I11" s="45">
        <f t="shared" si="1"/>
        <v>25.846762830505789</v>
      </c>
      <c r="J11" s="45">
        <f t="shared" si="1"/>
        <v>26.25542910083384</v>
      </c>
      <c r="K11" s="45">
        <f t="shared" si="1"/>
        <v>27.105578456229161</v>
      </c>
      <c r="L11" s="45">
        <f t="shared" si="1"/>
        <v>30.001126771358937</v>
      </c>
      <c r="M11" s="45">
        <f t="shared" si="1"/>
        <v>28.702095891735645</v>
      </c>
      <c r="N11" s="31"/>
      <c r="O11" s="31"/>
      <c r="P11" s="31"/>
      <c r="Q11" s="31"/>
      <c r="R11" s="31"/>
      <c r="S11" s="28">
        <f>+S9/S10</f>
        <v>27.534362384813374</v>
      </c>
    </row>
    <row r="12" spans="1:19">
      <c r="A12" s="13"/>
      <c r="B12" s="3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>
      <c r="A13" s="13">
        <f>+MAX($A$1:A12)+1</f>
        <v>4</v>
      </c>
      <c r="B13" s="34" t="s">
        <v>33</v>
      </c>
      <c r="D13" s="27" t="s">
        <v>47</v>
      </c>
      <c r="F13" s="44">
        <v>1.0010162362070756</v>
      </c>
      <c r="G13" s="44">
        <v>1.0010162362070756</v>
      </c>
      <c r="H13" s="44">
        <v>1.0010162362070756</v>
      </c>
      <c r="I13" s="44">
        <v>1.0010162362070756</v>
      </c>
      <c r="J13" s="44">
        <v>1.0010162362070756</v>
      </c>
      <c r="K13" s="44">
        <v>1.0010162362070756</v>
      </c>
      <c r="L13" s="44">
        <v>1.0010162362070756</v>
      </c>
      <c r="M13" s="44">
        <v>1.0010162362070756</v>
      </c>
      <c r="N13" s="9"/>
      <c r="O13" s="9"/>
      <c r="P13" s="9"/>
      <c r="Q13" s="9"/>
      <c r="R13" s="9"/>
      <c r="S13" s="43">
        <f>+F13</f>
        <v>1.0010162362070756</v>
      </c>
    </row>
    <row r="14" spans="1:19">
      <c r="A14" s="13"/>
      <c r="B14" s="34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>
      <c r="A15" s="13">
        <f>+MAX($A$1:A14)+1</f>
        <v>5</v>
      </c>
      <c r="B15" s="34" t="s">
        <v>32</v>
      </c>
      <c r="D15" s="27" t="str">
        <f>"Line "&amp; $A$11&amp;" * Line "&amp;$A$13&amp;""</f>
        <v>Line 3 * Line 4</v>
      </c>
      <c r="F15" s="28">
        <f t="shared" ref="F15:M15" si="2">+F11*F13</f>
        <v>26.602830618524077</v>
      </c>
      <c r="G15" s="28">
        <f t="shared" si="2"/>
        <v>29.197956114782261</v>
      </c>
      <c r="H15" s="28">
        <f t="shared" si="2"/>
        <v>25.994607301256867</v>
      </c>
      <c r="I15" s="28">
        <f t="shared" si="2"/>
        <v>25.873029246729843</v>
      </c>
      <c r="J15" s="28">
        <f t="shared" si="2"/>
        <v>26.282110818518415</v>
      </c>
      <c r="K15" s="28">
        <f t="shared" si="2"/>
        <v>27.133124126470108</v>
      </c>
      <c r="L15" s="28">
        <f t="shared" si="2"/>
        <v>30.031615002637057</v>
      </c>
      <c r="M15" s="28">
        <f t="shared" si="2"/>
        <v>28.731264000799783</v>
      </c>
      <c r="N15" s="9"/>
      <c r="O15" s="9"/>
      <c r="P15" s="9"/>
      <c r="Q15" s="9"/>
      <c r="R15" s="9"/>
      <c r="S15" s="28">
        <f>+S11*S13</f>
        <v>27.562343800807561</v>
      </c>
    </row>
    <row r="16" spans="1:19">
      <c r="A16" s="13"/>
      <c r="B16" s="34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>
      <c r="A17" s="13">
        <f>+MAX($A$1:A16)+1</f>
        <v>6</v>
      </c>
      <c r="B17" s="34" t="s">
        <v>31</v>
      </c>
      <c r="D17" s="2" t="s">
        <v>48</v>
      </c>
      <c r="F17" s="32">
        <v>2238758.9310031459</v>
      </c>
      <c r="G17" s="32">
        <v>1946213.984713739</v>
      </c>
      <c r="H17" s="32">
        <v>2012115.0995251401</v>
      </c>
      <c r="I17" s="32">
        <v>1922587.2997041815</v>
      </c>
      <c r="J17" s="32">
        <v>2083814.2029145586</v>
      </c>
      <c r="K17" s="32">
        <v>2183359.4556987952</v>
      </c>
      <c r="L17" s="32">
        <v>2672204.7121104528</v>
      </c>
      <c r="M17" s="32">
        <v>2379620.9180117892</v>
      </c>
      <c r="N17" s="9"/>
      <c r="O17" s="9"/>
      <c r="P17" s="9"/>
      <c r="Q17" s="9"/>
      <c r="R17" s="9"/>
      <c r="S17" s="32">
        <f>SUM(F17:M17)</f>
        <v>17438674.603681803</v>
      </c>
    </row>
    <row r="18" spans="1:19">
      <c r="A18" s="13"/>
      <c r="B18" s="34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>
      <c r="A19" s="13">
        <f>+MAX($A$1:A18)+1</f>
        <v>7</v>
      </c>
      <c r="B19" s="34" t="s">
        <v>30</v>
      </c>
      <c r="D19" s="27" t="s">
        <v>49</v>
      </c>
      <c r="F19" s="42">
        <f t="shared" ref="F19:M19" si="3">+F15*F17</f>
        <v>59557324.637184724</v>
      </c>
      <c r="G19" s="42">
        <f t="shared" si="3"/>
        <v>56825470.51564727</v>
      </c>
      <c r="H19" s="42">
        <f t="shared" si="3"/>
        <v>52304141.857085392</v>
      </c>
      <c r="I19" s="42">
        <f t="shared" si="3"/>
        <v>49743157.434637643</v>
      </c>
      <c r="J19" s="42">
        <f t="shared" si="3"/>
        <v>54767035.806203045</v>
      </c>
      <c r="K19" s="42">
        <f t="shared" si="3"/>
        <v>59241363.12417762</v>
      </c>
      <c r="L19" s="42">
        <f t="shared" si="3"/>
        <v>80250623.12233372</v>
      </c>
      <c r="M19" s="42">
        <f t="shared" si="3"/>
        <v>68369516.817222252</v>
      </c>
      <c r="N19" s="42">
        <v>57129196.588008054</v>
      </c>
      <c r="O19" s="42">
        <v>48690687.634379268</v>
      </c>
      <c r="P19" s="42">
        <v>50196933.512127191</v>
      </c>
      <c r="Q19" s="42">
        <v>53447121.013135135</v>
      </c>
      <c r="R19" s="9"/>
      <c r="S19" s="14">
        <f>SUM(F19:Q19)</f>
        <v>690522572.06214118</v>
      </c>
    </row>
    <row r="20" spans="1:19">
      <c r="A20" s="13">
        <f>+MAX($A$1:A19)+1</f>
        <v>8</v>
      </c>
      <c r="B20" s="34" t="s">
        <v>29</v>
      </c>
      <c r="D20" s="2" t="s">
        <v>50</v>
      </c>
      <c r="F20" s="41">
        <v>-2954345.4884271878</v>
      </c>
      <c r="G20" s="41">
        <v>-2832047.1535681728</v>
      </c>
      <c r="H20" s="41">
        <v>-3033267.1154222852</v>
      </c>
      <c r="I20" s="41">
        <v>-3029880.7875786796</v>
      </c>
      <c r="J20" s="41">
        <v>-2751838.3693462941</v>
      </c>
      <c r="K20" s="41">
        <v>-4121278.7679616204</v>
      </c>
      <c r="L20" s="41">
        <v>-3790580.1578094992</v>
      </c>
      <c r="M20" s="41">
        <v>-3309897.7822045311</v>
      </c>
      <c r="N20" s="41">
        <v>-3302317.6999945384</v>
      </c>
      <c r="O20" s="41">
        <v>-3384382.5066567864</v>
      </c>
      <c r="P20" s="41">
        <v>-2915609.4551244397</v>
      </c>
      <c r="Q20" s="41">
        <v>-2219657.9215643238</v>
      </c>
      <c r="R20" s="9"/>
      <c r="S20" s="19">
        <f>SUM(F20:Q20)</f>
        <v>-37645103.205658361</v>
      </c>
    </row>
    <row r="21" spans="1:19">
      <c r="A21" s="13">
        <f>+MAX($A$1:A20)+1</f>
        <v>9</v>
      </c>
      <c r="B21" s="34" t="s">
        <v>28</v>
      </c>
      <c r="D21" s="27" t="str">
        <f>"Line "&amp; $A$19&amp;" + Line "&amp;$A$20&amp;""</f>
        <v>Line 7 + Line 8</v>
      </c>
      <c r="F21" s="40">
        <f t="shared" ref="F21:Q21" si="4">+F19+F20</f>
        <v>56602979.14875754</v>
      </c>
      <c r="G21" s="40">
        <f t="shared" si="4"/>
        <v>53993423.362079099</v>
      </c>
      <c r="H21" s="40">
        <f t="shared" si="4"/>
        <v>49270874.741663106</v>
      </c>
      <c r="I21" s="40">
        <f t="shared" si="4"/>
        <v>46713276.647058964</v>
      </c>
      <c r="J21" s="40">
        <f t="shared" si="4"/>
        <v>52015197.436856754</v>
      </c>
      <c r="K21" s="40">
        <f t="shared" si="4"/>
        <v>55120084.356215999</v>
      </c>
      <c r="L21" s="40">
        <f t="shared" si="4"/>
        <v>76460042.964524224</v>
      </c>
      <c r="M21" s="40">
        <f t="shared" si="4"/>
        <v>65059619.035017721</v>
      </c>
      <c r="N21" s="33">
        <f t="shared" si="4"/>
        <v>53826878.888013512</v>
      </c>
      <c r="O21" s="33">
        <f t="shared" si="4"/>
        <v>45306305.127722479</v>
      </c>
      <c r="P21" s="33">
        <f t="shared" si="4"/>
        <v>47281324.057002753</v>
      </c>
      <c r="Q21" s="33">
        <f t="shared" si="4"/>
        <v>51227463.091570809</v>
      </c>
      <c r="R21" s="9"/>
      <c r="S21" s="14">
        <f>+S19+S20</f>
        <v>652877468.85648286</v>
      </c>
    </row>
    <row r="22" spans="1:19">
      <c r="A22" s="13"/>
      <c r="B22" s="3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>
      <c r="A23" s="13">
        <f>+MAX($A$1:A22)+1</f>
        <v>10</v>
      </c>
      <c r="B23" s="34" t="s">
        <v>27</v>
      </c>
      <c r="D23" s="10" t="s">
        <v>51</v>
      </c>
      <c r="F23" s="32">
        <v>2080024.8839999998</v>
      </c>
      <c r="G23" s="32">
        <v>1778181.71</v>
      </c>
      <c r="H23" s="32">
        <v>1895016.52</v>
      </c>
      <c r="I23" s="32">
        <v>1848369.277</v>
      </c>
      <c r="J23" s="32">
        <v>1934205.9620000001</v>
      </c>
      <c r="K23" s="32">
        <v>2091697.8729999997</v>
      </c>
      <c r="L23" s="32">
        <v>2486321.6829999997</v>
      </c>
      <c r="M23" s="32">
        <v>2162802.41</v>
      </c>
      <c r="N23" s="39">
        <v>2029940.8599999999</v>
      </c>
      <c r="O23" s="39">
        <v>1829115.085</v>
      </c>
      <c r="P23" s="39">
        <v>1899050.0819999999</v>
      </c>
      <c r="Q23" s="39">
        <v>2054334.5380000002</v>
      </c>
      <c r="R23" s="9"/>
      <c r="S23" s="39">
        <f>SUM(F23:Q23)</f>
        <v>24089060.884</v>
      </c>
    </row>
    <row r="24" spans="1:19">
      <c r="A24" s="13">
        <f>+MAX($A$1:A23)+1</f>
        <v>11</v>
      </c>
      <c r="B24" s="38" t="s">
        <v>26</v>
      </c>
      <c r="D24" s="27" t="str">
        <f>"Line "&amp; $A$21&amp;" / Line "&amp;$A$23&amp;""</f>
        <v>Line 9 / Line 10</v>
      </c>
      <c r="F24" s="37">
        <f t="shared" ref="F24:Q24" si="5">+F21/F23</f>
        <v>27.212645187160916</v>
      </c>
      <c r="G24" s="37">
        <f t="shared" si="5"/>
        <v>30.364401488574021</v>
      </c>
      <c r="H24" s="37">
        <f t="shared" si="5"/>
        <v>26.000234943420494</v>
      </c>
      <c r="I24" s="37">
        <f t="shared" si="5"/>
        <v>25.272696981242326</v>
      </c>
      <c r="J24" s="37">
        <f t="shared" si="5"/>
        <v>26.892274379648899</v>
      </c>
      <c r="K24" s="37">
        <f t="shared" si="5"/>
        <v>26.35183841209366</v>
      </c>
      <c r="L24" s="37">
        <f t="shared" si="5"/>
        <v>30.752272920802191</v>
      </c>
      <c r="M24" s="37">
        <f t="shared" si="5"/>
        <v>30.081166330408202</v>
      </c>
      <c r="N24" s="30">
        <f t="shared" si="5"/>
        <v>26.516476390358246</v>
      </c>
      <c r="O24" s="30">
        <f t="shared" si="5"/>
        <v>24.769521338085998</v>
      </c>
      <c r="P24" s="30">
        <f t="shared" si="5"/>
        <v>24.897355001405778</v>
      </c>
      <c r="Q24" s="30">
        <f t="shared" si="5"/>
        <v>24.936280894855308</v>
      </c>
      <c r="R24" s="9"/>
      <c r="S24" s="30">
        <f>+S21/S23</f>
        <v>27.102653440928673</v>
      </c>
    </row>
    <row r="25" spans="1:19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>
      <c r="A26" s="36" t="s">
        <v>25</v>
      </c>
      <c r="B26" s="3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>
      <c r="A27" s="13">
        <f>+MAX($A$1:A26)+1</f>
        <v>12</v>
      </c>
      <c r="B27" s="15" t="s">
        <v>24</v>
      </c>
      <c r="D27" s="2" t="s">
        <v>20</v>
      </c>
      <c r="F27" s="22">
        <v>50011065.137238234</v>
      </c>
      <c r="G27" s="22">
        <v>45985167.100023851</v>
      </c>
      <c r="H27" s="22">
        <v>49906973.15688844</v>
      </c>
      <c r="I27" s="22">
        <v>48917079.303698763</v>
      </c>
      <c r="J27" s="22">
        <v>52873367.693607651</v>
      </c>
      <c r="K27" s="22">
        <v>53728239.205889396</v>
      </c>
      <c r="L27" s="22">
        <v>63466696.84056095</v>
      </c>
      <c r="M27" s="22">
        <v>66758059.057229094</v>
      </c>
      <c r="N27" s="22">
        <v>49906721.067821383</v>
      </c>
      <c r="O27" s="22">
        <v>49492154.976800933</v>
      </c>
      <c r="P27" s="22">
        <v>49898556.117012031</v>
      </c>
      <c r="Q27" s="22">
        <v>53654819.650948182</v>
      </c>
      <c r="R27" s="14"/>
      <c r="S27" s="14">
        <f>SUM(F27:Q27)</f>
        <v>634598899.30771887</v>
      </c>
    </row>
    <row r="28" spans="1:19">
      <c r="A28" s="13">
        <f>+MAX($A$1:A27)+1</f>
        <v>13</v>
      </c>
      <c r="B28" s="34" t="s">
        <v>23</v>
      </c>
      <c r="D28" s="2" t="s">
        <v>20</v>
      </c>
      <c r="F28" s="14">
        <v>-2684824.28561325</v>
      </c>
      <c r="G28" s="14">
        <v>-2684824.28561325</v>
      </c>
      <c r="H28" s="14">
        <v>-2684824.28561325</v>
      </c>
      <c r="I28" s="14">
        <v>-2684824.28561325</v>
      </c>
      <c r="J28" s="14">
        <v>-2684824.28561325</v>
      </c>
      <c r="K28" s="14">
        <v>-2684824.28561325</v>
      </c>
      <c r="L28" s="14">
        <v>-2684824.28561325</v>
      </c>
      <c r="M28" s="14">
        <v>-2684824.28561325</v>
      </c>
      <c r="N28" s="14">
        <v>-3422346.376176998</v>
      </c>
      <c r="O28" s="14">
        <v>-3422346.376176998</v>
      </c>
      <c r="P28" s="14">
        <v>-3422346.376176998</v>
      </c>
      <c r="Q28" s="14">
        <v>-3422346.376176998</v>
      </c>
      <c r="R28" s="14"/>
      <c r="S28" s="19">
        <f>SUM(F28:Q28)</f>
        <v>-35167979.789613992</v>
      </c>
    </row>
    <row r="29" spans="1:19">
      <c r="A29" s="13">
        <f>+MAX($A$1:A28)+1</f>
        <v>14</v>
      </c>
      <c r="B29" s="34" t="s">
        <v>22</v>
      </c>
      <c r="D29" s="27" t="str">
        <f>"Line "&amp; $A$27&amp;" / Line "&amp;$A$28&amp;""</f>
        <v>Line 12 / Line 13</v>
      </c>
      <c r="F29" s="33">
        <f t="shared" ref="F29:Q29" si="6">+F27+F28</f>
        <v>47326240.851624981</v>
      </c>
      <c r="G29" s="33">
        <f t="shared" si="6"/>
        <v>43300342.814410597</v>
      </c>
      <c r="H29" s="33">
        <f t="shared" si="6"/>
        <v>47222148.871275187</v>
      </c>
      <c r="I29" s="33">
        <f t="shared" si="6"/>
        <v>46232255.01808551</v>
      </c>
      <c r="J29" s="33">
        <f t="shared" si="6"/>
        <v>50188543.407994404</v>
      </c>
      <c r="K29" s="33">
        <f t="shared" si="6"/>
        <v>51043414.92027615</v>
      </c>
      <c r="L29" s="33">
        <f t="shared" si="6"/>
        <v>60781872.554947704</v>
      </c>
      <c r="M29" s="33">
        <f t="shared" si="6"/>
        <v>64073234.771615848</v>
      </c>
      <c r="N29" s="33">
        <f t="shared" si="6"/>
        <v>46484374.691644385</v>
      </c>
      <c r="O29" s="33">
        <f t="shared" si="6"/>
        <v>46069808.600623935</v>
      </c>
      <c r="P29" s="33">
        <f t="shared" si="6"/>
        <v>46476209.740835033</v>
      </c>
      <c r="Q29" s="33">
        <f t="shared" si="6"/>
        <v>50232473.274771184</v>
      </c>
      <c r="R29" s="14"/>
      <c r="S29" s="14">
        <f>SUM(F29:Q29)</f>
        <v>599430919.51810503</v>
      </c>
    </row>
    <row r="30" spans="1:19">
      <c r="A30" s="13"/>
      <c r="B30" s="1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>
      <c r="A31" s="13">
        <f>+MAX($A$1:A30)+1</f>
        <v>15</v>
      </c>
      <c r="B31" s="15" t="s">
        <v>21</v>
      </c>
      <c r="D31" s="2" t="s">
        <v>20</v>
      </c>
      <c r="F31" s="32">
        <v>1982626.99979</v>
      </c>
      <c r="G31" s="32">
        <v>1789929.9980000001</v>
      </c>
      <c r="H31" s="32">
        <v>1910070.0009899999</v>
      </c>
      <c r="I31" s="32">
        <v>1856810.0009900001</v>
      </c>
      <c r="J31" s="32">
        <v>1998460.00202</v>
      </c>
      <c r="K31" s="32">
        <v>1912132.46205</v>
      </c>
      <c r="L31" s="32">
        <v>2266364.4785400005</v>
      </c>
      <c r="M31" s="32">
        <v>2314401.9906899994</v>
      </c>
      <c r="N31" s="32">
        <v>1865836.6002939758</v>
      </c>
      <c r="O31" s="32">
        <v>1829380.8936000003</v>
      </c>
      <c r="P31" s="32">
        <v>1877678.2182000002</v>
      </c>
      <c r="Q31" s="32">
        <v>2013528.5713025413</v>
      </c>
      <c r="R31" s="9"/>
      <c r="S31" s="32">
        <f>SUM(F31:Q31)</f>
        <v>23617220.21646652</v>
      </c>
    </row>
    <row r="32" spans="1:19">
      <c r="A32" s="13"/>
      <c r="B32" s="1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>
      <c r="A33" s="13">
        <f>+MAX($A$1:A32)+1</f>
        <v>16</v>
      </c>
      <c r="B33" s="12" t="s">
        <v>19</v>
      </c>
      <c r="D33" s="27" t="str">
        <f>"Line "&amp; $A$29&amp;" / Line "&amp;$A$31&amp;""</f>
        <v>Line 14 / Line 15</v>
      </c>
      <c r="F33" s="30">
        <f t="shared" ref="F33:Q33" si="7">+F29/F31</f>
        <v>23.870471277067132</v>
      </c>
      <c r="G33" s="30">
        <f t="shared" si="7"/>
        <v>24.191081697492503</v>
      </c>
      <c r="H33" s="30">
        <f t="shared" si="7"/>
        <v>24.722732070971055</v>
      </c>
      <c r="I33" s="30">
        <f t="shared" si="7"/>
        <v>24.898753773103195</v>
      </c>
      <c r="J33" s="30">
        <f t="shared" si="7"/>
        <v>25.113609157683875</v>
      </c>
      <c r="K33" s="30">
        <f t="shared" si="7"/>
        <v>26.694497339139588</v>
      </c>
      <c r="L33" s="30">
        <f t="shared" si="7"/>
        <v>26.819107487116806</v>
      </c>
      <c r="M33" s="30">
        <f t="shared" si="7"/>
        <v>27.684574688994935</v>
      </c>
      <c r="N33" s="30">
        <f t="shared" si="7"/>
        <v>24.91342204581068</v>
      </c>
      <c r="O33" s="30">
        <f t="shared" si="7"/>
        <v>25.183278540733049</v>
      </c>
      <c r="P33" s="30">
        <f t="shared" si="7"/>
        <v>24.751956586783304</v>
      </c>
      <c r="Q33" s="30">
        <f t="shared" si="7"/>
        <v>24.947484724428843</v>
      </c>
      <c r="R33" s="31"/>
      <c r="S33" s="30">
        <f>+S29/S31</f>
        <v>25.381095405130139</v>
      </c>
    </row>
    <row r="34" spans="1:19"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9"/>
      <c r="S34" s="9"/>
    </row>
    <row r="35" spans="1:19">
      <c r="A35" s="11" t="s">
        <v>18</v>
      </c>
      <c r="B35" s="12"/>
      <c r="C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>
      <c r="A36" s="13">
        <f>+MAX($A$1:A35)+1</f>
        <v>17</v>
      </c>
      <c r="B36" s="15" t="s">
        <v>17</v>
      </c>
      <c r="C36" s="11"/>
      <c r="D36" s="27" t="str">
        <f>"Line "&amp; $A$24&amp;" - Line "&amp;$A$33&amp;""</f>
        <v>Line 11 - Line 16</v>
      </c>
      <c r="F36" s="28">
        <f t="shared" ref="F36:Q36" si="8">F24-F33</f>
        <v>3.3421739100937842</v>
      </c>
      <c r="G36" s="28">
        <f t="shared" si="8"/>
        <v>6.1733197910815178</v>
      </c>
      <c r="H36" s="28">
        <f t="shared" si="8"/>
        <v>1.2775028724494391</v>
      </c>
      <c r="I36" s="28">
        <f t="shared" si="8"/>
        <v>0.3739432081391314</v>
      </c>
      <c r="J36" s="28">
        <f t="shared" si="8"/>
        <v>1.7786652219650243</v>
      </c>
      <c r="K36" s="28">
        <f t="shared" si="8"/>
        <v>-0.34265892704592815</v>
      </c>
      <c r="L36" s="28">
        <f t="shared" si="8"/>
        <v>3.9331654336853852</v>
      </c>
      <c r="M36" s="28">
        <f t="shared" si="8"/>
        <v>2.3965916414132664</v>
      </c>
      <c r="N36" s="28">
        <f t="shared" si="8"/>
        <v>1.6030543445475658</v>
      </c>
      <c r="O36" s="28">
        <f t="shared" si="8"/>
        <v>-0.41375720264705151</v>
      </c>
      <c r="P36" s="28">
        <f t="shared" si="8"/>
        <v>0.14539841462247338</v>
      </c>
      <c r="Q36" s="28">
        <f t="shared" si="8"/>
        <v>-1.1203829573535273E-2</v>
      </c>
      <c r="R36" s="9"/>
      <c r="S36" s="9"/>
    </row>
    <row r="37" spans="1:19">
      <c r="A37" s="13"/>
      <c r="B37" s="15"/>
      <c r="C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>
      <c r="A38" s="13">
        <f>+MAX($A$1:A37)+1</f>
        <v>18</v>
      </c>
      <c r="B38" s="15" t="s">
        <v>16</v>
      </c>
      <c r="C38" s="11"/>
      <c r="D38" s="27" t="str">
        <f>"Line "&amp; $A$23&amp;" * Line "&amp;$A$36&amp;""</f>
        <v>Line 10 * Line 17</v>
      </c>
      <c r="F38" s="22">
        <f t="shared" ref="F38:Q38" si="9">F23*F36</f>
        <v>6951804.8996506492</v>
      </c>
      <c r="G38" s="22">
        <f t="shared" si="9"/>
        <v>10977284.342482176</v>
      </c>
      <c r="H38" s="22">
        <f t="shared" si="9"/>
        <v>2420889.0476391399</v>
      </c>
      <c r="I38" s="22">
        <f t="shared" si="9"/>
        <v>691185.13726718677</v>
      </c>
      <c r="J38" s="22">
        <f t="shared" si="9"/>
        <v>3440304.8767268034</v>
      </c>
      <c r="K38" s="22">
        <f t="shared" si="9"/>
        <v>-716738.94886642997</v>
      </c>
      <c r="L38" s="22">
        <f t="shared" si="9"/>
        <v>9779114.5005980711</v>
      </c>
      <c r="M38" s="22">
        <f t="shared" si="9"/>
        <v>5183354.1778344689</v>
      </c>
      <c r="N38" s="22">
        <f t="shared" si="9"/>
        <v>3254105.5147976219</v>
      </c>
      <c r="O38" s="22">
        <f t="shared" si="9"/>
        <v>-756809.5408891238</v>
      </c>
      <c r="P38" s="22">
        <f t="shared" si="9"/>
        <v>276118.87121147808</v>
      </c>
      <c r="Q38" s="22">
        <f t="shared" si="9"/>
        <v>-23016.414050779324</v>
      </c>
      <c r="R38" s="14"/>
      <c r="S38" s="14">
        <f>+SUM(F38:Q38)</f>
        <v>41477596.464401253</v>
      </c>
    </row>
    <row r="39" spans="1:19">
      <c r="A39" s="13"/>
      <c r="B39" s="15"/>
      <c r="C39" s="1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>
      <c r="A40" s="13">
        <f>+MAX($A$1:A39)+1</f>
        <v>19</v>
      </c>
      <c r="B40" s="15" t="s">
        <v>15</v>
      </c>
      <c r="C40" s="11"/>
      <c r="D40" s="27" t="str">
        <f>"Line "&amp;$A$40&amp;" * 70%"</f>
        <v>Line 19 * 70%</v>
      </c>
      <c r="F40" s="22">
        <f t="shared" ref="F40:Q40" si="10">+F38*0.7</f>
        <v>4866263.429755454</v>
      </c>
      <c r="G40" s="22">
        <f t="shared" si="10"/>
        <v>7684099.0397375226</v>
      </c>
      <c r="H40" s="22">
        <f t="shared" si="10"/>
        <v>1694622.3333473979</v>
      </c>
      <c r="I40" s="22">
        <f t="shared" si="10"/>
        <v>483829.59608703072</v>
      </c>
      <c r="J40" s="22">
        <f t="shared" si="10"/>
        <v>2408213.4137087623</v>
      </c>
      <c r="K40" s="22">
        <f t="shared" si="10"/>
        <v>-501717.26420650096</v>
      </c>
      <c r="L40" s="22">
        <f t="shared" si="10"/>
        <v>6845380.1504186494</v>
      </c>
      <c r="M40" s="22">
        <f t="shared" si="10"/>
        <v>3628347.9244841281</v>
      </c>
      <c r="N40" s="22">
        <f t="shared" si="10"/>
        <v>2277873.8603583351</v>
      </c>
      <c r="O40" s="22">
        <f t="shared" si="10"/>
        <v>-529766.67862238665</v>
      </c>
      <c r="P40" s="22">
        <f t="shared" si="10"/>
        <v>193283.20984803463</v>
      </c>
      <c r="Q40" s="22">
        <f t="shared" si="10"/>
        <v>-16111.489835545526</v>
      </c>
      <c r="R40" s="14"/>
      <c r="S40" s="14">
        <f>+SUM(F40:Q40)</f>
        <v>29034317.525080878</v>
      </c>
    </row>
    <row r="41" spans="1:19">
      <c r="A41" s="13">
        <f>+MAX($A$1:A40)+1</f>
        <v>20</v>
      </c>
      <c r="B41" s="15" t="s">
        <v>14</v>
      </c>
      <c r="C41" s="11"/>
      <c r="D41" s="2" t="s">
        <v>13</v>
      </c>
      <c r="F41" s="14"/>
      <c r="G41" s="14"/>
      <c r="H41" s="14"/>
      <c r="I41" s="14"/>
      <c r="J41" s="14"/>
      <c r="K41" s="14"/>
      <c r="L41" s="14"/>
      <c r="M41" s="22">
        <v>-1204554</v>
      </c>
      <c r="N41" s="14"/>
      <c r="O41" s="14"/>
      <c r="P41" s="14"/>
      <c r="Q41" s="14"/>
      <c r="R41" s="14"/>
      <c r="S41" s="14">
        <f>+SUM(F41:Q41)</f>
        <v>-1204554</v>
      </c>
    </row>
    <row r="42" spans="1:19">
      <c r="A42" s="13">
        <f>+MAX($A$1:A41)+1</f>
        <v>21</v>
      </c>
      <c r="B42" s="12" t="s">
        <v>12</v>
      </c>
      <c r="C42" s="11"/>
      <c r="D42" s="27" t="str">
        <f>"∑ Lines "&amp;$A$40&amp;":"&amp;$A$41&amp;""</f>
        <v>∑ Lines 19:20</v>
      </c>
      <c r="F42" s="25">
        <f t="shared" ref="F42:Q42" si="11">+F40+F41</f>
        <v>4866263.429755454</v>
      </c>
      <c r="G42" s="25">
        <f t="shared" si="11"/>
        <v>7684099.0397375226</v>
      </c>
      <c r="H42" s="25">
        <f t="shared" si="11"/>
        <v>1694622.3333473979</v>
      </c>
      <c r="I42" s="25">
        <f t="shared" si="11"/>
        <v>483829.59608703072</v>
      </c>
      <c r="J42" s="25">
        <f t="shared" si="11"/>
        <v>2408213.4137087623</v>
      </c>
      <c r="K42" s="25">
        <f t="shared" si="11"/>
        <v>-501717.26420650096</v>
      </c>
      <c r="L42" s="25">
        <f t="shared" si="11"/>
        <v>6845380.1504186494</v>
      </c>
      <c r="M42" s="25">
        <f t="shared" si="11"/>
        <v>2423793.9244841281</v>
      </c>
      <c r="N42" s="25">
        <f t="shared" si="11"/>
        <v>2277873.8603583351</v>
      </c>
      <c r="O42" s="25">
        <f t="shared" si="11"/>
        <v>-529766.67862238665</v>
      </c>
      <c r="P42" s="25">
        <f t="shared" si="11"/>
        <v>193283.20984803463</v>
      </c>
      <c r="Q42" s="25">
        <f t="shared" si="11"/>
        <v>-16111.489835545526</v>
      </c>
      <c r="R42" s="26"/>
      <c r="S42" s="25">
        <f>+SUM(F42:Q42)</f>
        <v>27829763.525080878</v>
      </c>
    </row>
    <row r="43" spans="1:19">
      <c r="A43" s="13"/>
      <c r="B43" s="12"/>
      <c r="C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>
      <c r="A44" s="11" t="s">
        <v>11</v>
      </c>
      <c r="B44" s="12"/>
      <c r="C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>
      <c r="A45" s="13">
        <f>+MAX($A$1:A44)+1</f>
        <v>22</v>
      </c>
      <c r="B45" s="15" t="s">
        <v>10</v>
      </c>
      <c r="C45" s="18"/>
      <c r="D45" s="10" t="s">
        <v>9</v>
      </c>
      <c r="F45" s="24">
        <v>5.0000000000000001E-3</v>
      </c>
      <c r="G45" s="23">
        <f t="shared" ref="G45:Q45" si="12">+F45</f>
        <v>5.0000000000000001E-3</v>
      </c>
      <c r="H45" s="23">
        <f t="shared" si="12"/>
        <v>5.0000000000000001E-3</v>
      </c>
      <c r="I45" s="23">
        <f t="shared" si="12"/>
        <v>5.0000000000000001E-3</v>
      </c>
      <c r="J45" s="23">
        <f t="shared" si="12"/>
        <v>5.0000000000000001E-3</v>
      </c>
      <c r="K45" s="23">
        <f t="shared" si="12"/>
        <v>5.0000000000000001E-3</v>
      </c>
      <c r="L45" s="23">
        <f t="shared" si="12"/>
        <v>5.0000000000000001E-3</v>
      </c>
      <c r="M45" s="23">
        <f t="shared" si="12"/>
        <v>5.0000000000000001E-3</v>
      </c>
      <c r="N45" s="23">
        <f t="shared" si="12"/>
        <v>5.0000000000000001E-3</v>
      </c>
      <c r="O45" s="23">
        <f t="shared" si="12"/>
        <v>5.0000000000000001E-3</v>
      </c>
      <c r="P45" s="23">
        <f t="shared" si="12"/>
        <v>5.0000000000000001E-3</v>
      </c>
      <c r="Q45" s="23">
        <f t="shared" si="12"/>
        <v>5.0000000000000001E-3</v>
      </c>
      <c r="R45" s="9"/>
      <c r="S45" s="9"/>
    </row>
    <row r="46" spans="1:19">
      <c r="A46" s="13">
        <f>+MAX($A$1:A45)+1</f>
        <v>23</v>
      </c>
      <c r="B46" s="15" t="s">
        <v>8</v>
      </c>
      <c r="C46" s="18"/>
      <c r="D46" s="17" t="str">
        <f>"Prior Month Line "&amp;$A$49&amp;""</f>
        <v>Prior Month Line 26</v>
      </c>
      <c r="F46" s="22">
        <v>0</v>
      </c>
      <c r="G46" s="14">
        <f t="shared" ref="G46:Q46" si="13">+F49</f>
        <v>4878429.0883298423</v>
      </c>
      <c r="H46" s="14">
        <f t="shared" si="13"/>
        <v>12606130.521108357</v>
      </c>
      <c r="I46" s="14">
        <f t="shared" si="13"/>
        <v>14368020.062894665</v>
      </c>
      <c r="J46" s="14">
        <f t="shared" si="13"/>
        <v>14924899.333286386</v>
      </c>
      <c r="K46" s="14">
        <f t="shared" si="13"/>
        <v>17413757.777195852</v>
      </c>
      <c r="L46" s="14">
        <f t="shared" si="13"/>
        <v>16997855.008714814</v>
      </c>
      <c r="M46" s="14">
        <f t="shared" si="13"/>
        <v>23945337.884553086</v>
      </c>
      <c r="N46" s="14">
        <f t="shared" si="13"/>
        <v>26494917.983271193</v>
      </c>
      <c r="O46" s="14">
        <f t="shared" si="13"/>
        <v>28910961.118196778</v>
      </c>
      <c r="P46" s="14">
        <f t="shared" si="13"/>
        <v>28524424.828468818</v>
      </c>
      <c r="Q46" s="14">
        <f t="shared" si="13"/>
        <v>28860813.370483816</v>
      </c>
      <c r="R46" s="14"/>
      <c r="S46" s="14">
        <f>+F46</f>
        <v>0</v>
      </c>
    </row>
    <row r="47" spans="1:19">
      <c r="A47" s="13">
        <f>+MAX($A$1:A46)+1</f>
        <v>24</v>
      </c>
      <c r="B47" s="15" t="s">
        <v>7</v>
      </c>
      <c r="C47" s="18"/>
      <c r="D47" s="17" t="str">
        <f>"Line "&amp;$A$42</f>
        <v>Line 21</v>
      </c>
      <c r="F47" s="14">
        <f t="shared" ref="F47:Q47" si="14">+F42</f>
        <v>4866263.429755454</v>
      </c>
      <c r="G47" s="14">
        <f t="shared" si="14"/>
        <v>7684099.0397375226</v>
      </c>
      <c r="H47" s="14">
        <f t="shared" si="14"/>
        <v>1694622.3333473979</v>
      </c>
      <c r="I47" s="14">
        <f t="shared" si="14"/>
        <v>483829.59608703072</v>
      </c>
      <c r="J47" s="14">
        <f t="shared" si="14"/>
        <v>2408213.4137087623</v>
      </c>
      <c r="K47" s="14">
        <f t="shared" si="14"/>
        <v>-501717.26420650096</v>
      </c>
      <c r="L47" s="14">
        <f t="shared" si="14"/>
        <v>6845380.1504186494</v>
      </c>
      <c r="M47" s="14">
        <f t="shared" si="14"/>
        <v>2423793.9244841281</v>
      </c>
      <c r="N47" s="14">
        <f t="shared" si="14"/>
        <v>2277873.8603583351</v>
      </c>
      <c r="O47" s="14">
        <f t="shared" si="14"/>
        <v>-529766.67862238665</v>
      </c>
      <c r="P47" s="14">
        <f t="shared" si="14"/>
        <v>193283.20984803463</v>
      </c>
      <c r="Q47" s="14">
        <f t="shared" si="14"/>
        <v>-16111.489835545526</v>
      </c>
      <c r="R47" s="14"/>
      <c r="S47" s="14">
        <f>+SUM(F47:Q47)</f>
        <v>27829763.525080878</v>
      </c>
    </row>
    <row r="48" spans="1:19" ht="12.75" customHeight="1">
      <c r="A48" s="13">
        <f>+MAX($A$1:A47)+1</f>
        <v>25</v>
      </c>
      <c r="B48" s="21" t="s">
        <v>6</v>
      </c>
      <c r="C48" s="18"/>
      <c r="D48" s="17" t="str">
        <f>"Line "&amp;$A$45&amp;" * ( Line "&amp;$A$46&amp;" + 50% x Line "&amp;$A$47&amp;")"</f>
        <v>Line 22 * ( Line 23 + 50% x Line 24)</v>
      </c>
      <c r="F48" s="20">
        <f t="shared" ref="F48:Q48" si="15">+(F46+0.5*SUM(F47:F47))*F45</f>
        <v>12165.658574388635</v>
      </c>
      <c r="G48" s="20">
        <f t="shared" si="15"/>
        <v>43602.393040993018</v>
      </c>
      <c r="H48" s="20">
        <f t="shared" si="15"/>
        <v>67267.208438910282</v>
      </c>
      <c r="I48" s="20">
        <f t="shared" si="15"/>
        <v>73049.674304690896</v>
      </c>
      <c r="J48" s="20">
        <f t="shared" si="15"/>
        <v>80645.030200703841</v>
      </c>
      <c r="K48" s="20">
        <f t="shared" si="15"/>
        <v>85814.495725463014</v>
      </c>
      <c r="L48" s="20">
        <f t="shared" si="15"/>
        <v>102102.72541962069</v>
      </c>
      <c r="M48" s="20">
        <f t="shared" si="15"/>
        <v>125786.17423397575</v>
      </c>
      <c r="N48" s="20">
        <f t="shared" si="15"/>
        <v>138169.27456725179</v>
      </c>
      <c r="O48" s="20">
        <f t="shared" si="15"/>
        <v>143230.38889442792</v>
      </c>
      <c r="P48" s="20">
        <f t="shared" si="15"/>
        <v>143105.33216696416</v>
      </c>
      <c r="Q48" s="20">
        <f t="shared" si="15"/>
        <v>144263.78812783022</v>
      </c>
      <c r="R48" s="14"/>
      <c r="S48" s="19">
        <f>+SUM(F48:Q48)</f>
        <v>1159202.1436952201</v>
      </c>
    </row>
    <row r="49" spans="1:19">
      <c r="A49" s="13">
        <f>+MAX($A$1:A48)+1</f>
        <v>26</v>
      </c>
      <c r="B49" s="12" t="s">
        <v>5</v>
      </c>
      <c r="C49" s="18"/>
      <c r="D49" s="17" t="str">
        <f>"∑ Lines "&amp;$A$36&amp;":"&amp;$A$41&amp;""</f>
        <v>∑ Lines 17:20</v>
      </c>
      <c r="F49" s="16">
        <f t="shared" ref="F49:Q49" si="16">+F46+F47+F48</f>
        <v>4878429.0883298423</v>
      </c>
      <c r="G49" s="16">
        <f t="shared" si="16"/>
        <v>12606130.521108357</v>
      </c>
      <c r="H49" s="16">
        <f t="shared" si="16"/>
        <v>14368020.062894665</v>
      </c>
      <c r="I49" s="16">
        <f t="shared" si="16"/>
        <v>14924899.333286386</v>
      </c>
      <c r="J49" s="16">
        <f t="shared" si="16"/>
        <v>17413757.777195852</v>
      </c>
      <c r="K49" s="16">
        <f t="shared" si="16"/>
        <v>16997855.008714814</v>
      </c>
      <c r="L49" s="16">
        <f t="shared" si="16"/>
        <v>23945337.884553086</v>
      </c>
      <c r="M49" s="16">
        <f t="shared" si="16"/>
        <v>26494917.983271193</v>
      </c>
      <c r="N49" s="16">
        <f t="shared" si="16"/>
        <v>28910961.118196778</v>
      </c>
      <c r="O49" s="16">
        <f t="shared" si="16"/>
        <v>28524424.828468818</v>
      </c>
      <c r="P49" s="16">
        <f t="shared" si="16"/>
        <v>28860813.370483816</v>
      </c>
      <c r="Q49" s="16">
        <f t="shared" si="16"/>
        <v>28988965.668776099</v>
      </c>
      <c r="R49" s="16"/>
      <c r="S49" s="16">
        <f>+S47+S48</f>
        <v>28988965.668776099</v>
      </c>
    </row>
    <row r="50" spans="1:19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25.5">
      <c r="A51" s="13">
        <f>+MAX($A$1:A50)+1</f>
        <v>27</v>
      </c>
      <c r="B51" s="15" t="s">
        <v>4</v>
      </c>
      <c r="C51" s="11"/>
      <c r="D51" s="10" t="str">
        <f>"Line "&amp;$A$49&amp;" * (1 + 1.06% / 12) ^ 10 - Line "&amp;$A$49</f>
        <v>Line 26 * (1 + 1.06% / 12) ^ 10 - Line 26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4">
        <f>+S49*(1+0.06/12)^10-S49</f>
        <v>1482499.5320271142</v>
      </c>
    </row>
    <row r="52" spans="1:19">
      <c r="A52" s="13">
        <f>+MAX($A$1:A51)+1</f>
        <v>28</v>
      </c>
      <c r="B52" s="15" t="s">
        <v>42</v>
      </c>
      <c r="C52" s="11"/>
      <c r="D52" s="1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4">
        <v>-500000</v>
      </c>
    </row>
    <row r="53" spans="1:19" ht="13.5" thickBot="1">
      <c r="A53" s="13">
        <f>+MAX($A$1:A52)+1</f>
        <v>29</v>
      </c>
      <c r="B53" s="12" t="s">
        <v>43</v>
      </c>
      <c r="C53" s="11"/>
      <c r="D53" s="10" t="str">
        <f>"∑ Lines "&amp;$A$49&amp;":"&amp;$A$52&amp;""</f>
        <v>∑ Lines 26:28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">
        <f>S49+S51+S52</f>
        <v>29971465.200803213</v>
      </c>
    </row>
    <row r="54" spans="1:19" ht="13.5" thickTop="1"/>
    <row r="56" spans="1:19">
      <c r="A56" s="7" t="s">
        <v>3</v>
      </c>
      <c r="B56" s="6"/>
    </row>
    <row r="57" spans="1:19">
      <c r="A57" s="5">
        <v>1</v>
      </c>
      <c r="B57" s="3" t="s">
        <v>2</v>
      </c>
    </row>
    <row r="58" spans="1:19">
      <c r="A58" s="5">
        <v>2</v>
      </c>
      <c r="B58" s="3" t="s">
        <v>1</v>
      </c>
    </row>
    <row r="59" spans="1:19">
      <c r="A59" s="4">
        <v>3</v>
      </c>
      <c r="B59" s="3" t="s">
        <v>0</v>
      </c>
    </row>
  </sheetData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(Exh.1) EBA Summary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laurieharris</cp:lastModifiedBy>
  <dcterms:created xsi:type="dcterms:W3CDTF">2015-03-03T20:09:05Z</dcterms:created>
  <dcterms:modified xsi:type="dcterms:W3CDTF">2015-10-20T17:49:14Z</dcterms:modified>
</cp:coreProperties>
</file>